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480" yWindow="75" windowWidth="14355" windowHeight="10005" activeTab="1"/>
  </bookViews>
  <sheets>
    <sheet name="Planilha Orçamentária" sheetId="3" r:id="rId1"/>
    <sheet name="Composição do BDI" sheetId="5" r:id="rId2"/>
    <sheet name="Cronograma Físico-Financeiro" sheetId="4" r:id="rId3"/>
    <sheet name="Orçamento Sintético" sheetId="2" r:id="rId4"/>
    <sheet name="CAPA" sheetId="1" r:id="rId5"/>
  </sheets>
  <definedNames>
    <definedName name="\0">#REF!</definedName>
    <definedName name="_A100935">#REF!</definedName>
    <definedName name="_A1009350">#REF!</definedName>
    <definedName name="_BD2">#REF!</definedName>
    <definedName name="_MAT1">#REF!</definedName>
    <definedName name="A">#REF!</definedName>
    <definedName name="_xlnm.Print_Area" localSheetId="4">CAPA!$A$1:$E$29</definedName>
    <definedName name="_xlnm.Print_Area" localSheetId="1">'Composição do BDI'!$A$1:$J$36</definedName>
    <definedName name="_xlnm.Print_Area" localSheetId="2">'Cronograma Físico-Financeiro'!$A$1:$R$37</definedName>
    <definedName name="_xlnm.Print_Area" localSheetId="3">'Orçamento Sintético'!$A$1:$G$30</definedName>
    <definedName name="_xlnm.Print_Area" localSheetId="0">'Planilha Orçamentária'!$A$1:$L$172</definedName>
    <definedName name="_xlnm.Print_Area">#REF!</definedName>
    <definedName name="Área_impressão_IM">#REF!</definedName>
    <definedName name="BANCO">#REF!</definedName>
    <definedName name="bdi">#REF!</definedName>
    <definedName name="Bomba_putzmeister">#REF!</definedName>
    <definedName name="Código">#REF!</definedName>
    <definedName name="EQPTO">#REF!</definedName>
    <definedName name="ESCAV.MEC.CLAM.SHEL.DEP.LAT">#REF!</definedName>
    <definedName name="ESCAV.MEC.RETRO.DEP.LAT">#REF!</definedName>
    <definedName name="Excel_BuiltIn_Print_Area_1_1">#REF!</definedName>
    <definedName name="gen">#REF!</definedName>
    <definedName name="insumos">#REF!</definedName>
    <definedName name="ITEM">#REF!</definedName>
    <definedName name="MAT">#REF!</definedName>
    <definedName name="MO">#REF!</definedName>
    <definedName name="PL_ABC">#REF!</definedName>
    <definedName name="planilha">#REF!</definedName>
    <definedName name="RES_CPS">#REF!</definedName>
    <definedName name="serv">#REF!</definedName>
    <definedName name="tab">#REF!</definedName>
    <definedName name="_xlnm.Print_Titles" localSheetId="2">'Cronograma Físico-Financeiro'!$17:$17</definedName>
    <definedName name="_xlnm.Print_Titles" localSheetId="3">'Orçamento Sintético'!$17:$17</definedName>
    <definedName name="_xlnm.Print_Titles" localSheetId="0">'Planilha Orçamentária'!$17:$19</definedName>
    <definedName name="total">#REF!</definedName>
    <definedName name="Z_77FD295D_1BCD_41C6_B306_76E0FF93C8E4_.wvu.Cols" localSheetId="3" hidden="1">'Orçamento Sintético'!$C:$E</definedName>
    <definedName name="Z_77FD295D_1BCD_41C6_B306_76E0FF93C8E4_.wvu.PrintArea" localSheetId="4" hidden="1">CAPA!$A$6:$E$29</definedName>
    <definedName name="Z_77FD295D_1BCD_41C6_B306_76E0FF93C8E4_.wvu.PrintArea" localSheetId="2" hidden="1">'Cronograma Físico-Financeiro'!$A$10:$P$27</definedName>
    <definedName name="Z_77FD295D_1BCD_41C6_B306_76E0FF93C8E4_.wvu.PrintArea" localSheetId="3" hidden="1">'Orçamento Sintético'!$A$6:$G$23</definedName>
    <definedName name="Z_77FD295D_1BCD_41C6_B306_76E0FF93C8E4_.wvu.PrintArea" localSheetId="0" hidden="1">'Planilha Orçamentária'!$A$1:$M$131</definedName>
    <definedName name="Z_77FD295D_1BCD_41C6_B306_76E0FF93C8E4_.wvu.PrintTitles" localSheetId="2" hidden="1">'Cronograma Físico-Financeiro'!$17:$17</definedName>
    <definedName name="Z_77FD295D_1BCD_41C6_B306_76E0FF93C8E4_.wvu.PrintTitles" localSheetId="3" hidden="1">'Orçamento Sintético'!$17:$17</definedName>
    <definedName name="Z_77FD295D_1BCD_41C6_B306_76E0FF93C8E4_.wvu.PrintTitles" localSheetId="0" hidden="1">'Planilha Orçamentária'!$18:$19</definedName>
  </definedNames>
  <calcPr calcId="124519"/>
  <customWorkbookViews>
    <customWorkbookView name="lucio - Modo de exibição pessoal" guid="{77FD295D-1BCD-41C6-B306-76E0FF93C8E4}" mergeInterval="0" personalView="1" maximized="1" xWindow="1" yWindow="1" windowWidth="1920" windowHeight="905" activeSheetId="3"/>
  </customWorkbookViews>
</workbook>
</file>

<file path=xl/calcChain.xml><?xml version="1.0" encoding="utf-8"?>
<calcChain xmlns="http://schemas.openxmlformats.org/spreadsheetml/2006/main">
  <c r="L128" i="3"/>
  <c r="L24"/>
  <c r="C9" i="4"/>
  <c r="L126" i="3" l="1"/>
  <c r="L127"/>
  <c r="C14" l="1"/>
  <c r="L135"/>
  <c r="K135"/>
  <c r="I136"/>
  <c r="I135" s="1"/>
  <c r="L11" l="1"/>
  <c r="K128"/>
  <c r="K127"/>
  <c r="K126"/>
  <c r="K125"/>
  <c r="L125" s="1"/>
  <c r="K124"/>
  <c r="L124" s="1"/>
  <c r="K129"/>
  <c r="L129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1"/>
  <c r="L111" s="1"/>
  <c r="K112"/>
  <c r="L112" s="1"/>
  <c r="K113"/>
  <c r="L113" s="1"/>
  <c r="K114"/>
  <c r="L114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7"/>
  <c r="L97" s="1"/>
  <c r="K98"/>
  <c r="L98" s="1"/>
  <c r="K96"/>
  <c r="L96" s="1"/>
  <c r="K95"/>
  <c r="L95" s="1"/>
  <c r="K94"/>
  <c r="L94" s="1"/>
  <c r="K93"/>
  <c r="L93" s="1"/>
  <c r="K92"/>
  <c r="L92" s="1"/>
  <c r="K91"/>
  <c r="L91" s="1"/>
  <c r="K90"/>
  <c r="L90" s="1"/>
  <c r="K87"/>
  <c r="L87" s="1"/>
  <c r="K86"/>
  <c r="L86" s="1"/>
  <c r="K85"/>
  <c r="L85" s="1"/>
  <c r="K84"/>
  <c r="L84" s="1"/>
  <c r="K82"/>
  <c r="L82" s="1"/>
  <c r="K83"/>
  <c r="L83" s="1"/>
  <c r="K81"/>
  <c r="L81" s="1"/>
  <c r="K80"/>
  <c r="L80" s="1"/>
  <c r="K79"/>
  <c r="L79" s="1"/>
  <c r="K77"/>
  <c r="L77" s="1"/>
  <c r="K76"/>
  <c r="L76" s="1"/>
  <c r="K75"/>
  <c r="L75" s="1"/>
  <c r="K73"/>
  <c r="L73" s="1"/>
  <c r="K74"/>
  <c r="L74" s="1"/>
  <c r="K72"/>
  <c r="L72" s="1"/>
  <c r="K71"/>
  <c r="L71" s="1"/>
  <c r="K70"/>
  <c r="L70" s="1"/>
  <c r="K69"/>
  <c r="L69" s="1"/>
  <c r="K68"/>
  <c r="L68" s="1"/>
  <c r="K67"/>
  <c r="L67" s="1"/>
  <c r="K66"/>
  <c r="L66" s="1"/>
  <c r="K65"/>
  <c r="L65" s="1"/>
  <c r="K64"/>
  <c r="L64" s="1"/>
  <c r="K63"/>
  <c r="L63" s="1"/>
  <c r="K62"/>
  <c r="L62" s="1"/>
  <c r="K61"/>
  <c r="L61" s="1"/>
  <c r="K60"/>
  <c r="L60" s="1"/>
  <c r="K59"/>
  <c r="L59" s="1"/>
  <c r="K58"/>
  <c r="L58" s="1"/>
  <c r="K78"/>
  <c r="L78" s="1"/>
  <c r="K55"/>
  <c r="L55" s="1"/>
  <c r="K54"/>
  <c r="L54" s="1"/>
  <c r="K53"/>
  <c r="L53" s="1"/>
  <c r="K52"/>
  <c r="L52" s="1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2"/>
  <c r="L42" s="1"/>
  <c r="K41"/>
  <c r="L41" s="1"/>
  <c r="K40"/>
  <c r="L40" s="1"/>
  <c r="K38"/>
  <c r="L38" s="1"/>
  <c r="K37"/>
  <c r="L37" s="1"/>
  <c r="K36"/>
  <c r="L36" s="1"/>
  <c r="K39"/>
  <c r="L39" s="1"/>
  <c r="K35"/>
  <c r="L35" s="1"/>
  <c r="K31"/>
  <c r="L31" s="1"/>
  <c r="K32"/>
  <c r="K33"/>
  <c r="L33" s="1"/>
  <c r="K34"/>
  <c r="L34" s="1"/>
  <c r="K28"/>
  <c r="L28" s="1"/>
  <c r="K27"/>
  <c r="L27" s="1"/>
  <c r="K26"/>
  <c r="L26" s="1"/>
  <c r="K25"/>
  <c r="L25" s="1"/>
  <c r="K23"/>
  <c r="L23" s="1"/>
  <c r="K24"/>
  <c r="K22"/>
  <c r="A5" i="5"/>
  <c r="A30"/>
  <c r="A29"/>
  <c r="D9"/>
  <c r="B8"/>
  <c r="A7"/>
  <c r="A4"/>
  <c r="G23"/>
  <c r="L14" i="3" s="1"/>
  <c r="A4" i="1"/>
  <c r="A3" i="4"/>
  <c r="A4" i="2"/>
  <c r="B12" i="1"/>
  <c r="B13"/>
  <c r="B8" i="4"/>
  <c r="A35"/>
  <c r="F12" i="2"/>
  <c r="F11"/>
  <c r="A7"/>
  <c r="A6"/>
  <c r="D13" i="1"/>
  <c r="C7"/>
  <c r="A34" i="4"/>
  <c r="A29" i="2"/>
  <c r="A28"/>
  <c r="A23" i="1"/>
  <c r="A22"/>
  <c r="B10" i="2"/>
  <c r="A11" i="4"/>
  <c r="D12" i="1"/>
  <c r="A7" i="4"/>
  <c r="A10" i="1"/>
  <c r="C6"/>
  <c r="G19" i="3" l="1"/>
  <c r="E136" s="1"/>
  <c r="G134"/>
  <c r="L22"/>
  <c r="K21"/>
  <c r="K19"/>
  <c r="K30"/>
  <c r="K123"/>
  <c r="L32"/>
  <c r="K57"/>
  <c r="K89"/>
  <c r="B18" i="4"/>
  <c r="B19"/>
  <c r="B20"/>
  <c r="B21"/>
  <c r="I93" i="3" l="1"/>
  <c r="E93" s="1"/>
  <c r="G93" s="1"/>
  <c r="M12"/>
  <c r="K12" s="1"/>
  <c r="L12" l="1"/>
  <c r="L13" s="1"/>
  <c r="I91" l="1"/>
  <c r="I99"/>
  <c r="I107"/>
  <c r="I115"/>
  <c r="I59"/>
  <c r="I67"/>
  <c r="I75"/>
  <c r="I83"/>
  <c r="I34"/>
  <c r="I42"/>
  <c r="I50"/>
  <c r="I24"/>
  <c r="I128"/>
  <c r="I112"/>
  <c r="I39"/>
  <c r="I22"/>
  <c r="I95"/>
  <c r="I119"/>
  <c r="I79"/>
  <c r="I46"/>
  <c r="I102"/>
  <c r="I70"/>
  <c r="I45"/>
  <c r="I124"/>
  <c r="I98"/>
  <c r="I106"/>
  <c r="I114"/>
  <c r="I66"/>
  <c r="I74"/>
  <c r="I82"/>
  <c r="I33"/>
  <c r="I41"/>
  <c r="I49"/>
  <c r="I23"/>
  <c r="I104"/>
  <c r="I120"/>
  <c r="I64"/>
  <c r="I80"/>
  <c r="I58"/>
  <c r="I55"/>
  <c r="I127"/>
  <c r="I63"/>
  <c r="I38"/>
  <c r="I28"/>
  <c r="I110"/>
  <c r="I78"/>
  <c r="I53"/>
  <c r="I129"/>
  <c r="I97"/>
  <c r="I105"/>
  <c r="I113"/>
  <c r="I121"/>
  <c r="I65"/>
  <c r="I73"/>
  <c r="I81"/>
  <c r="I32"/>
  <c r="I40"/>
  <c r="I48"/>
  <c r="I31"/>
  <c r="I96"/>
  <c r="I72"/>
  <c r="I47"/>
  <c r="I94"/>
  <c r="I37"/>
  <c r="I125"/>
  <c r="I101"/>
  <c r="I109"/>
  <c r="I117"/>
  <c r="I61"/>
  <c r="I69"/>
  <c r="I77"/>
  <c r="I85"/>
  <c r="I36"/>
  <c r="I44"/>
  <c r="I52"/>
  <c r="I26"/>
  <c r="I92"/>
  <c r="I100"/>
  <c r="I108"/>
  <c r="I116"/>
  <c r="I60"/>
  <c r="I68"/>
  <c r="I76"/>
  <c r="I84"/>
  <c r="I35"/>
  <c r="I43"/>
  <c r="I51"/>
  <c r="I25"/>
  <c r="I103"/>
  <c r="I111"/>
  <c r="I71"/>
  <c r="I87"/>
  <c r="I54"/>
  <c r="I126"/>
  <c r="I118"/>
  <c r="I62"/>
  <c r="I86"/>
  <c r="I27"/>
  <c r="I90"/>
  <c r="L89"/>
  <c r="L30"/>
  <c r="I123" l="1"/>
  <c r="E124"/>
  <c r="G124" s="1"/>
  <c r="E127"/>
  <c r="G127" s="1"/>
  <c r="E125"/>
  <c r="G125" s="1"/>
  <c r="E126"/>
  <c r="G126" s="1"/>
  <c r="E128"/>
  <c r="G128" s="1"/>
  <c r="E129"/>
  <c r="G129" s="1"/>
  <c r="E91"/>
  <c r="G91" s="1"/>
  <c r="E44"/>
  <c r="G44" s="1"/>
  <c r="E74"/>
  <c r="G74" s="1"/>
  <c r="E41"/>
  <c r="G41" s="1"/>
  <c r="E68"/>
  <c r="G68" s="1"/>
  <c r="E112"/>
  <c r="G112" s="1"/>
  <c r="E66"/>
  <c r="G66" s="1"/>
  <c r="E100"/>
  <c r="G100" s="1"/>
  <c r="E50"/>
  <c r="G50" s="1"/>
  <c r="E39"/>
  <c r="G39" s="1"/>
  <c r="E115"/>
  <c r="G115" s="1"/>
  <c r="E33"/>
  <c r="G33" s="1"/>
  <c r="E120"/>
  <c r="G120" s="1"/>
  <c r="E22"/>
  <c r="G22" s="1"/>
  <c r="I21"/>
  <c r="C17" i="4" s="1"/>
  <c r="F18" i="2" s="1"/>
  <c r="E107" i="3"/>
  <c r="G107" s="1"/>
  <c r="E92"/>
  <c r="G92" s="1"/>
  <c r="E81"/>
  <c r="G81" s="1"/>
  <c r="E104"/>
  <c r="G104" s="1"/>
  <c r="E95"/>
  <c r="G95" s="1"/>
  <c r="E86"/>
  <c r="G86" s="1"/>
  <c r="E97"/>
  <c r="G97" s="1"/>
  <c r="E121"/>
  <c r="G121" s="1"/>
  <c r="E83"/>
  <c r="G83" s="1"/>
  <c r="E96"/>
  <c r="G96" s="1"/>
  <c r="E63"/>
  <c r="G63" s="1"/>
  <c r="E119"/>
  <c r="G119" s="1"/>
  <c r="E99"/>
  <c r="G99" s="1"/>
  <c r="E26"/>
  <c r="G26" s="1"/>
  <c r="E73"/>
  <c r="G73" s="1"/>
  <c r="E49"/>
  <c r="G49" s="1"/>
  <c r="E76"/>
  <c r="G76" s="1"/>
  <c r="E38"/>
  <c r="G38" s="1"/>
  <c r="E79"/>
  <c r="G79" s="1"/>
  <c r="E98"/>
  <c r="G98" s="1"/>
  <c r="E113"/>
  <c r="G113" s="1"/>
  <c r="E75"/>
  <c r="G75" s="1"/>
  <c r="E42"/>
  <c r="G42" s="1"/>
  <c r="E84"/>
  <c r="G84" s="1"/>
  <c r="E35"/>
  <c r="G35" s="1"/>
  <c r="E47"/>
  <c r="G47" s="1"/>
  <c r="E25"/>
  <c r="G25" s="1"/>
  <c r="E87"/>
  <c r="G87" s="1"/>
  <c r="E46"/>
  <c r="G46" s="1"/>
  <c r="E36"/>
  <c r="G36" s="1"/>
  <c r="E27"/>
  <c r="G27" s="1"/>
  <c r="E59"/>
  <c r="G59" s="1"/>
  <c r="E34"/>
  <c r="G34" s="1"/>
  <c r="E31"/>
  <c r="G31" s="1"/>
  <c r="I30"/>
  <c r="E80"/>
  <c r="G80" s="1"/>
  <c r="E37"/>
  <c r="G37" s="1"/>
  <c r="E102"/>
  <c r="G102" s="1"/>
  <c r="E105"/>
  <c r="G105" s="1"/>
  <c r="E52"/>
  <c r="G52" s="1"/>
  <c r="E65"/>
  <c r="G65" s="1"/>
  <c r="E108"/>
  <c r="G108" s="1"/>
  <c r="E32"/>
  <c r="G32" s="1"/>
  <c r="E60"/>
  <c r="G60" s="1"/>
  <c r="E48"/>
  <c r="G48" s="1"/>
  <c r="E64"/>
  <c r="G64" s="1"/>
  <c r="E43"/>
  <c r="G43" s="1"/>
  <c r="E51"/>
  <c r="G51" s="1"/>
  <c r="E94"/>
  <c r="G94" s="1"/>
  <c r="E111"/>
  <c r="G111" s="1"/>
  <c r="E71"/>
  <c r="G71" s="1"/>
  <c r="E28"/>
  <c r="G28" s="1"/>
  <c r="E69"/>
  <c r="G69" s="1"/>
  <c r="E78"/>
  <c r="G78" s="1"/>
  <c r="E70"/>
  <c r="G70" s="1"/>
  <c r="E106"/>
  <c r="G106" s="1"/>
  <c r="I89"/>
  <c r="E67"/>
  <c r="G67" s="1"/>
  <c r="E116"/>
  <c r="G116" s="1"/>
  <c r="E23"/>
  <c r="G23" s="1"/>
  <c r="E72"/>
  <c r="G72" s="1"/>
  <c r="E55"/>
  <c r="G55" s="1"/>
  <c r="E109"/>
  <c r="G109" s="1"/>
  <c r="E61"/>
  <c r="G61" s="1"/>
  <c r="E118"/>
  <c r="G118" s="1"/>
  <c r="E77"/>
  <c r="G77" s="1"/>
  <c r="E53"/>
  <c r="G53" s="1"/>
  <c r="E45"/>
  <c r="G45" s="1"/>
  <c r="E114"/>
  <c r="G114" s="1"/>
  <c r="E82"/>
  <c r="G82" s="1"/>
  <c r="E40"/>
  <c r="G40" s="1"/>
  <c r="E24"/>
  <c r="G24" s="1"/>
  <c r="E58"/>
  <c r="G58" s="1"/>
  <c r="I57"/>
  <c r="E103"/>
  <c r="G103" s="1"/>
  <c r="E101"/>
  <c r="G101" s="1"/>
  <c r="E117"/>
  <c r="G117" s="1"/>
  <c r="E54"/>
  <c r="G54" s="1"/>
  <c r="E110"/>
  <c r="G110" s="1"/>
  <c r="E62"/>
  <c r="G62" s="1"/>
  <c r="E85"/>
  <c r="G85" s="1"/>
  <c r="E90"/>
  <c r="G90" s="1"/>
  <c r="L147"/>
  <c r="L151"/>
  <c r="L149"/>
  <c r="L150"/>
  <c r="L152"/>
  <c r="L155"/>
  <c r="L148"/>
  <c r="L146"/>
  <c r="E57" l="1"/>
  <c r="G57" s="1"/>
  <c r="E89"/>
  <c r="G89" s="1"/>
  <c r="C18" i="4"/>
  <c r="G24" s="1"/>
  <c r="F19" i="2"/>
  <c r="C20" i="4"/>
  <c r="M24" s="1"/>
  <c r="F21" i="2"/>
  <c r="E30" i="3"/>
  <c r="G30" s="1"/>
  <c r="L57" l="1"/>
  <c r="C19" i="4" l="1"/>
  <c r="J24" s="1"/>
  <c r="F20" i="2"/>
  <c r="L123" i="3" l="1"/>
  <c r="L154" l="1"/>
  <c r="N153" s="1"/>
  <c r="F22" i="2"/>
  <c r="F23" s="1"/>
  <c r="C21" i="4"/>
  <c r="P24" s="1"/>
  <c r="E123" i="3"/>
  <c r="G123" s="1"/>
  <c r="L21" l="1"/>
  <c r="I131" l="1"/>
  <c r="E21"/>
  <c r="G21" s="1"/>
  <c r="G21" i="2" l="1"/>
  <c r="I138" i="3"/>
  <c r="G22" i="2"/>
  <c r="G19"/>
  <c r="K146" i="3"/>
  <c r="K148"/>
  <c r="K150"/>
  <c r="G18" i="2"/>
  <c r="L131" i="3"/>
  <c r="K147"/>
  <c r="K154"/>
  <c r="K151"/>
  <c r="K149"/>
  <c r="L153"/>
  <c r="L157" s="1"/>
  <c r="K157" s="1"/>
  <c r="K152"/>
  <c r="K155"/>
  <c r="C23" i="4"/>
  <c r="D24"/>
  <c r="M25" l="1"/>
  <c r="G25"/>
  <c r="J25"/>
  <c r="P25"/>
  <c r="D26"/>
  <c r="D27" s="1"/>
  <c r="D25"/>
  <c r="G20" i="2"/>
  <c r="G23" s="1"/>
  <c r="L138" i="3"/>
  <c r="E16" i="1"/>
  <c r="K153" i="3"/>
  <c r="G136"/>
  <c r="E135"/>
  <c r="G135" s="1"/>
  <c r="G26" i="4" l="1"/>
  <c r="J26" s="1"/>
  <c r="G27"/>
  <c r="J27" s="1"/>
  <c r="M27" s="1"/>
  <c r="P27" s="1"/>
  <c r="M26" l="1"/>
  <c r="P26" l="1"/>
</calcChain>
</file>

<file path=xl/comments1.xml><?xml version="1.0" encoding="utf-8"?>
<comments xmlns="http://schemas.openxmlformats.org/spreadsheetml/2006/main">
  <authors>
    <author>mantunes</author>
  </authors>
  <commentList>
    <comment ref="A3" authorId="0">
      <text>
        <r>
          <rPr>
            <sz val="11"/>
            <color indexed="81"/>
            <rFont val="Tahoma"/>
            <family val="2"/>
          </rPr>
          <t>Insira o nome do Órgão contratante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10"/>
            <color indexed="81"/>
            <rFont val="Tahoma"/>
            <family val="2"/>
          </rPr>
          <t>Insira o título da contração. Ex. "Elaboração de projetos para a construção da Seção Judiciária de Goiás/GO".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>
      <text>
        <r>
          <rPr>
            <sz val="10"/>
            <color indexed="81"/>
            <rFont val="Tahoma"/>
            <family val="2"/>
          </rPr>
          <t xml:space="preserve">Insira o endereço onde será </t>
        </r>
        <r>
          <rPr>
            <b/>
            <sz val="10"/>
            <color indexed="81"/>
            <rFont val="Tahoma"/>
            <family val="2"/>
          </rPr>
          <t>executada a obra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>
      <text>
        <r>
          <rPr>
            <sz val="10"/>
            <color indexed="81"/>
            <rFont val="Tahoma"/>
            <family val="2"/>
          </rPr>
          <t>Insira o nome da empresa proponente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Insira o nome do Responsável Técnico da proposta.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Insira o número do CREA/CAU do Responsável Técnico pela proposta.</t>
        </r>
      </text>
    </comment>
    <comment ref="B9" authorId="0">
      <text>
        <r>
          <rPr>
            <sz val="10"/>
            <color indexed="81"/>
            <rFont val="Tahoma"/>
            <family val="2"/>
          </rPr>
          <t>Insira o número do CNPJ</t>
        </r>
      </text>
    </comment>
    <comment ref="I9" authorId="0">
      <text>
        <r>
          <rPr>
            <sz val="10"/>
            <color indexed="81"/>
            <rFont val="Tahoma"/>
            <family val="2"/>
          </rPr>
          <t>Insira a data de apresentação da proposta.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Insira a área estimada a ser projetada, de acordo com o programa de necessidades detalhado.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Insira o valor do SINAPI Regional.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Insira o mês e o ano de referência da coleta de preços - SINAPI REGIONAL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Insira o prazo para a execução dos projetos.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DE ACORDO COM A PLANILHA DE BDI</t>
        </r>
      </text>
    </comment>
    <comment ref="D22" authorId="0">
      <text>
        <r>
          <rPr>
            <b/>
            <sz val="10"/>
            <color indexed="81"/>
            <rFont val="Tahoma"/>
            <family val="2"/>
          </rPr>
          <t>Preenchimento pela Administração do Órgão contratante. 
Colocar "1" para projeto a ser contratado e "0" para projeto que não será contratado.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4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5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6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7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8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9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</commentList>
</comments>
</file>

<file path=xl/sharedStrings.xml><?xml version="1.0" encoding="utf-8"?>
<sst xmlns="http://schemas.openxmlformats.org/spreadsheetml/2006/main" count="459" uniqueCount="273">
  <si>
    <t>04.01</t>
  </si>
  <si>
    <t>04.08</t>
  </si>
  <si>
    <t>05.02</t>
  </si>
  <si>
    <t>ORÇAMENTO SINTÉTICO</t>
  </si>
  <si>
    <t>CÓDIGO</t>
  </si>
  <si>
    <t>DESCRIÇÃO</t>
  </si>
  <si>
    <t>UNIDADE</t>
  </si>
  <si>
    <t>QUANT.</t>
  </si>
  <si>
    <t>PREÇO(R$)</t>
  </si>
  <si>
    <t>01.01</t>
  </si>
  <si>
    <t>02.01</t>
  </si>
  <si>
    <t>02.02</t>
  </si>
  <si>
    <t>02.03</t>
  </si>
  <si>
    <t>02.04</t>
  </si>
  <si>
    <t>03.01</t>
  </si>
  <si>
    <t>03.02</t>
  </si>
  <si>
    <t>03.04</t>
  </si>
  <si>
    <t>04.02</t>
  </si>
  <si>
    <t>04.03</t>
  </si>
  <si>
    <t>04.04</t>
  </si>
  <si>
    <t>05.01</t>
  </si>
  <si>
    <t>01.00</t>
  </si>
  <si>
    <t>02.00</t>
  </si>
  <si>
    <t>03.00</t>
  </si>
  <si>
    <t>04.00</t>
  </si>
  <si>
    <t>05.00</t>
  </si>
  <si>
    <t>ITEM</t>
  </si>
  <si>
    <t>01</t>
  </si>
  <si>
    <t>02</t>
  </si>
  <si>
    <t>03</t>
  </si>
  <si>
    <t>04</t>
  </si>
  <si>
    <t>05</t>
  </si>
  <si>
    <t>PERCENTUAL SIMPLES</t>
  </si>
  <si>
    <t>PERCENTUAL ACUMULADO</t>
  </si>
  <si>
    <t>02.05</t>
  </si>
  <si>
    <t>05.03</t>
  </si>
  <si>
    <t>un</t>
  </si>
  <si>
    <t>UNID</t>
  </si>
  <si>
    <t>PLANILHA ORÇAMENTARIA</t>
  </si>
  <si>
    <t>RESUMO FINANCEIRO</t>
  </si>
  <si>
    <t>CRONOGRAMA FÍSICO-FINANCEIRO</t>
  </si>
  <si>
    <t>03.05</t>
  </si>
  <si>
    <t>03.07</t>
  </si>
  <si>
    <t>03.08</t>
  </si>
  <si>
    <t>03.09</t>
  </si>
  <si>
    <t>04.05</t>
  </si>
  <si>
    <t>04.07</t>
  </si>
  <si>
    <t>ESTUDOS PRELIMINARES</t>
  </si>
  <si>
    <t>Relatórios comparativos sobre os sistemas a serem utilizados na obra</t>
  </si>
  <si>
    <t>Relatório sobre os materiais a serem utilizados na obra, com custos comparativos e benefícios</t>
  </si>
  <si>
    <t>Partido arquitetônico adotado</t>
  </si>
  <si>
    <t>ANTEPROJETO</t>
  </si>
  <si>
    <t>PROJETO BÁSICO</t>
  </si>
  <si>
    <t>Relação das cotações de preços que não tem no SINAPI</t>
  </si>
  <si>
    <t>Pranchas de desenho – relação dos projetos / número de pranchas / CD / escalas/carimbo</t>
  </si>
  <si>
    <t>Relação dos preços paradigmas que não tem SINAPI</t>
  </si>
  <si>
    <t>PROJETO EXECUTIVO</t>
  </si>
  <si>
    <t>ART ou RRT de todos os projetos (arquitetura e complementares)</t>
  </si>
  <si>
    <t>Aprovação do projeto de arquitetura na Prefeitura</t>
  </si>
  <si>
    <t>01.02</t>
  </si>
  <si>
    <t>01.03</t>
  </si>
  <si>
    <t>01.04</t>
  </si>
  <si>
    <t>01.05</t>
  </si>
  <si>
    <t>01.06</t>
  </si>
  <si>
    <t>01.07</t>
  </si>
  <si>
    <t>. Terraplanagem</t>
  </si>
  <si>
    <t>. Fundação</t>
  </si>
  <si>
    <t>. Estrutural - Superestrutura</t>
  </si>
  <si>
    <t>. Estrutural - Cobertura</t>
  </si>
  <si>
    <t>. Esgoto sanitário</t>
  </si>
  <si>
    <t>. Instalações elétricas - Normal</t>
  </si>
  <si>
    <t>. Instalações elétricas - Estabilizada</t>
  </si>
  <si>
    <t>. Instalações elétricas - Subestação</t>
  </si>
  <si>
    <t>. Telefonia</t>
  </si>
  <si>
    <t>. Rede lógica - Sistema de Cabeamento Estruturado</t>
  </si>
  <si>
    <t>. Detecção e Alarme Contra Incêndio</t>
  </si>
  <si>
    <t>. Prevenção e Combate a Incêndio</t>
  </si>
  <si>
    <t>. Ar Condicionado</t>
  </si>
  <si>
    <t>. Supervisão Comando e Controle de Edificações (ar condic., CFTV, luz, alarme de incêndio)</t>
  </si>
  <si>
    <t>. SPDA</t>
  </si>
  <si>
    <t>. Impermeabilização</t>
  </si>
  <si>
    <t>. Gás</t>
  </si>
  <si>
    <t xml:space="preserve">Pert-CPM (Diagrama de precedencia, EAP, prazo ótimo, cronograma) </t>
  </si>
  <si>
    <t>Licença ambiental prévia</t>
  </si>
  <si>
    <t>03.03</t>
  </si>
  <si>
    <t>03.06</t>
  </si>
  <si>
    <t>04.06</t>
  </si>
  <si>
    <t>05.05</t>
  </si>
  <si>
    <t>SINAPI - VALOR REGIONAL MÉDIO DO M² DE CONSTRUÇÃO:</t>
  </si>
  <si>
    <t>CUSTO TOTAL ESTIMADO DA OBRA - CO = ((3 X SINAPI) X ÁREA):</t>
  </si>
  <si>
    <t>Estudo da legislação das concessionárias públicas locais</t>
  </si>
  <si>
    <t>Estudo da legislação de órgãos locais para obtenção de licenças ambientais</t>
  </si>
  <si>
    <t>02.06</t>
  </si>
  <si>
    <t>02.07</t>
  </si>
  <si>
    <t>02.08</t>
  </si>
  <si>
    <t>02.09</t>
  </si>
  <si>
    <t>02.10</t>
  </si>
  <si>
    <t>02.11</t>
  </si>
  <si>
    <t>02.12</t>
  </si>
  <si>
    <t>02.13</t>
  </si>
  <si>
    <t>02.14</t>
  </si>
  <si>
    <t>02.15</t>
  </si>
  <si>
    <t>02.16</t>
  </si>
  <si>
    <t>02.17</t>
  </si>
  <si>
    <t>02.18</t>
  </si>
  <si>
    <t>02.19</t>
  </si>
  <si>
    <t>02.20</t>
  </si>
  <si>
    <t>02.21</t>
  </si>
  <si>
    <t>. Elevadores (estudos para dimensionamento)</t>
  </si>
  <si>
    <t>02.22</t>
  </si>
  <si>
    <t>02.23</t>
  </si>
  <si>
    <t>02.24</t>
  </si>
  <si>
    <t>02.25</t>
  </si>
  <si>
    <t>BDI =</t>
  </si>
  <si>
    <t>EMPRESA:</t>
  </si>
  <si>
    <t xml:space="preserve"> BDI (R$)</t>
  </si>
  <si>
    <t>03.10</t>
  </si>
  <si>
    <t>03.11</t>
  </si>
  <si>
    <t>03.12</t>
  </si>
  <si>
    <t>03.13</t>
  </si>
  <si>
    <t>03.14</t>
  </si>
  <si>
    <t>03.15</t>
  </si>
  <si>
    <t>03.16</t>
  </si>
  <si>
    <t>03.17</t>
  </si>
  <si>
    <t>03.18</t>
  </si>
  <si>
    <t>03.19</t>
  </si>
  <si>
    <t>03.20</t>
  </si>
  <si>
    <t>03.21</t>
  </si>
  <si>
    <t>03.22</t>
  </si>
  <si>
    <t>03.23</t>
  </si>
  <si>
    <t>03.24</t>
  </si>
  <si>
    <t>03.25</t>
  </si>
  <si>
    <t>Memorial de cálculo dos projetos estruturais, climatização, hidro-sanitários, combate a incêndio e elétrico</t>
  </si>
  <si>
    <t>. Sinalização Visual</t>
  </si>
  <si>
    <t>. Paisagismo</t>
  </si>
  <si>
    <t>. Águas pluviais (captação e drenagem)</t>
  </si>
  <si>
    <t>. Àguas pluviais (captação e drenagem)</t>
  </si>
  <si>
    <t>04.09</t>
  </si>
  <si>
    <t>04.10</t>
  </si>
  <si>
    <t>04.11</t>
  </si>
  <si>
    <t>04.12</t>
  </si>
  <si>
    <t>04.13</t>
  </si>
  <si>
    <t>04.14</t>
  </si>
  <si>
    <t>04.15</t>
  </si>
  <si>
    <t>04.16</t>
  </si>
  <si>
    <t>04.17</t>
  </si>
  <si>
    <t>04.18</t>
  </si>
  <si>
    <t>04.19</t>
  </si>
  <si>
    <t>04.20</t>
  </si>
  <si>
    <t>04.21</t>
  </si>
  <si>
    <t>04.22</t>
  </si>
  <si>
    <t>04.23</t>
  </si>
  <si>
    <t>04.24</t>
  </si>
  <si>
    <t>04.25</t>
  </si>
  <si>
    <t xml:space="preserve">Relatório de viabilidade do investimento </t>
  </si>
  <si>
    <t>ART ou RRT da planilha orçamentária, caderno de encargos e especificações técnicas.</t>
  </si>
  <si>
    <t>Aprovação dos projetos de combate e prevenção a incêndios no Corpo de Bombeiros</t>
  </si>
  <si>
    <t>Aprovação dos projetos nas concessionárias públicas (elétrica, água/esgoto etc)</t>
  </si>
  <si>
    <t>APROVAÇÃO DE PROJETOS E ENTREGA DE DOCUMENTAÇÃO</t>
  </si>
  <si>
    <t>CUSTO MÁXIMO ADMITIDO PARA O PROJETO (% CO):</t>
  </si>
  <si>
    <t>Composição dos custos unitários de todos os serviços em nível de Projeto Básico</t>
  </si>
  <si>
    <t xml:space="preserve">Orçamento da obra em nível de Projeto Básico </t>
  </si>
  <si>
    <t>Caderno de encargos e especificações técnicas de todos os projetos em nível de Projeto Básico</t>
  </si>
  <si>
    <t>Caderno de encargos e especificações técnicas de todos os projetos em nível de Projeto Executivo</t>
  </si>
  <si>
    <t>04.26</t>
  </si>
  <si>
    <t>04.27</t>
  </si>
  <si>
    <t>04.28</t>
  </si>
  <si>
    <t>04.29</t>
  </si>
  <si>
    <t>04.30</t>
  </si>
  <si>
    <t>Orçamento da obra em nível de Projeto Executivo</t>
  </si>
  <si>
    <t>Composição dos custos unitários de todos os serviços em nível de Projeto Executivo</t>
  </si>
  <si>
    <t>03.26</t>
  </si>
  <si>
    <t>03.27</t>
  </si>
  <si>
    <t>03.28</t>
  </si>
  <si>
    <t>03.29</t>
  </si>
  <si>
    <t>ESTRUTURA</t>
  </si>
  <si>
    <t>INSTALAÇÕES ELÉTRICAS</t>
  </si>
  <si>
    <t>LÓGICA/TELEFONIA</t>
  </si>
  <si>
    <t>HIDRO-SANITÁRIA</t>
  </si>
  <si>
    <t>COMBATE E PREVENÇÃO A INCÊNDIOS</t>
  </si>
  <si>
    <t>AR CONDICIONADO</t>
  </si>
  <si>
    <t>ORÇAMENTO E DOCUMENTAÇÃO</t>
  </si>
  <si>
    <t>DEMAIS PROJETOS</t>
  </si>
  <si>
    <t>APROVAÇÃO DE PROJETOS/DOCUMENTAÇÃO</t>
  </si>
  <si>
    <t>03.30</t>
  </si>
  <si>
    <t>Maquete eletrônica preliminar</t>
  </si>
  <si>
    <t>04.31</t>
  </si>
  <si>
    <t>Maquete eletrônica final</t>
  </si>
  <si>
    <t>CNPJ:</t>
  </si>
  <si>
    <t xml:space="preserve">PREÇO TOTAL </t>
  </si>
  <si>
    <t>PRAZO DE EXECUÇÃO - DIAS CORRIDOS:</t>
  </si>
  <si>
    <t>5ª ETAPA
EM DIAS</t>
  </si>
  <si>
    <t>VALOR SIMPLES (R$)</t>
  </si>
  <si>
    <t>VALOR ACUMULADO (R$)</t>
  </si>
  <si>
    <t>PREÇO TOTAL DA ETAPA</t>
  </si>
  <si>
    <t>VALOR GLOBAL DO PROJETO:</t>
  </si>
  <si>
    <t>VALOR GLOBAL DOS SERVIÇOS:</t>
  </si>
  <si>
    <t>SERVIÇO:</t>
  </si>
  <si>
    <t>ÁREA ESTIMADA A SER PROJETADA EM M²</t>
  </si>
  <si>
    <t xml:space="preserve">PRAZO DE EXECUÇÃO-DIAS CORRIDOS: </t>
  </si>
  <si>
    <t>MÊS/ANO DE REFERÊNCIA DE COLETA DE PREÇOS: SINAPI REGIONAL</t>
  </si>
  <si>
    <t>CNPJ: XX.XXX.XXX/XXX-XX</t>
  </si>
  <si>
    <t>PREÇO UNIT.(R$)
SEM BDI</t>
  </si>
  <si>
    <t>DATA DE APRESENTAÇÃO DA PROPOSTA:</t>
  </si>
  <si>
    <t>DESCONTO</t>
  </si>
  <si>
    <t>DATA DA APRES. DA PROPOSTA:</t>
  </si>
  <si>
    <t>CREA/CAU:</t>
  </si>
  <si>
    <t>RESP. TÉCN.:</t>
  </si>
  <si>
    <t>PRAZO PARA EXECUÇÃO EM DIAS CORRIDOS:</t>
  </si>
  <si>
    <r>
      <rPr>
        <sz val="7"/>
        <rFont val="Arial"/>
        <family val="2"/>
      </rPr>
      <t xml:space="preserve">            PODER JUDICIÁRIO </t>
    </r>
    <r>
      <rPr>
        <b/>
        <sz val="10"/>
        <rFont val="Arial"/>
        <family val="2"/>
      </rPr>
      <t xml:space="preserve">
       </t>
    </r>
    <r>
      <rPr>
        <b/>
        <sz val="9"/>
        <rFont val="Arial"/>
        <family val="2"/>
      </rPr>
      <t>JUSTIÇA FEDERAL</t>
    </r>
  </si>
  <si>
    <r>
      <rPr>
        <sz val="7"/>
        <rFont val="Arial"/>
        <family val="2"/>
      </rPr>
      <t xml:space="preserve">PODER JUDICIÁRIO
</t>
    </r>
    <r>
      <rPr>
        <b/>
        <sz val="8"/>
        <rFont val="Arial"/>
        <family val="2"/>
      </rPr>
      <t>JUSTIÇA FEDERAL</t>
    </r>
  </si>
  <si>
    <t>XX.YYY.ZZZ/AAAA-BB</t>
  </si>
  <si>
    <t>NOME DO RESP. TÉCN.</t>
  </si>
  <si>
    <t>N. CAU/CREA</t>
  </si>
  <si>
    <t>ARQUITETURA</t>
  </si>
  <si>
    <t>NOME DA EMPRESA:</t>
  </si>
  <si>
    <r>
      <rPr>
        <sz val="7"/>
        <rFont val="Arial"/>
        <family val="2"/>
      </rPr>
      <t xml:space="preserve">        PODER JUDICIÁRIO </t>
    </r>
    <r>
      <rPr>
        <b/>
        <sz val="10"/>
        <rFont val="Arial"/>
        <family val="2"/>
      </rPr>
      <t xml:space="preserve">
     </t>
    </r>
    <r>
      <rPr>
        <b/>
        <sz val="9"/>
        <rFont val="Arial"/>
        <family val="2"/>
      </rPr>
      <t>JUSTIÇA FEDERAL</t>
    </r>
  </si>
  <si>
    <t xml:space="preserve">. Arquitetura </t>
  </si>
  <si>
    <t>ESCALONAMENTO DO VALOR DO PROJETO. EM RELAÇÃO A ÁREA: SE A &lt;= 3.000; 5%. SE A &gt;=10.000;3,5%. SE FALSO;4%.</t>
  </si>
  <si>
    <t>COMPOSIÇÃO DO BDI:</t>
  </si>
  <si>
    <t>PERCENTUAIS (%)</t>
  </si>
  <si>
    <t>A) LUCRO</t>
  </si>
  <si>
    <t>B) ADMINISTRAÇÃO CENTRAL</t>
  </si>
  <si>
    <t>C) DESPESAS FINANCEIRAS</t>
  </si>
  <si>
    <t>D) ISSQN</t>
  </si>
  <si>
    <t>E) PIS</t>
  </si>
  <si>
    <t>F) COFINS</t>
  </si>
  <si>
    <t>G) IMPREVISTOS</t>
  </si>
  <si>
    <r>
      <t xml:space="preserve">BDI % = (((1+B+G) X (1+C) x (1+A)) </t>
    </r>
    <r>
      <rPr>
        <sz val="10"/>
        <rFont val="Calibri"/>
        <family val="2"/>
      </rPr>
      <t>÷</t>
    </r>
    <r>
      <rPr>
        <sz val="10"/>
        <rFont val="Arial"/>
        <family val="2"/>
      </rPr>
      <t xml:space="preserve"> (1-D-E-F)) -1 </t>
    </r>
  </si>
  <si>
    <r>
      <rPr>
        <sz val="7"/>
        <rFont val="Arial"/>
        <family val="2"/>
      </rPr>
      <t xml:space="preserve">            PODER JUDICIÁRIO </t>
    </r>
    <r>
      <rPr>
        <b/>
        <sz val="10"/>
        <rFont val="Arial"/>
        <family val="2"/>
      </rPr>
      <t xml:space="preserve">
      </t>
    </r>
    <r>
      <rPr>
        <b/>
        <sz val="9"/>
        <rFont val="Arial"/>
        <family val="2"/>
      </rPr>
      <t>JUSTIÇA FEDERAL</t>
    </r>
  </si>
  <si>
    <t>RESUMO DOS PROJETOS</t>
  </si>
  <si>
    <t>05.06</t>
  </si>
  <si>
    <t>PERCENTUAL OFERTADO PELO LICITANTE
% SERÁ  ≤ AO DO ÓRGÃO</t>
  </si>
  <si>
    <t>PREÇO TOTAL (R$)</t>
  </si>
  <si>
    <t xml:space="preserve">Observações: </t>
  </si>
  <si>
    <t>2 - Ajustar o percentual do ISSQN à legislação municipal.</t>
  </si>
  <si>
    <t>1 - Percentuais do PIS e COFINS cotados no regime de incidência não-cumulativa, considerando-se o redutor de 20%, em relação ao percentual máximo ( 1,65% PIS e 7,60% COFINS), adotado pelo Sinaenco. Os licitantes devem apresentar o Demonstrativo de Apuração de Contribuições Sociais (DACON).</t>
  </si>
  <si>
    <t>ITEM PARA AJUSTE DO PERCENTUAL MÁXIMO A SER PAGO PELO PROJETO: Pmáximo = (% CO X % DE PROJETOS A CONTRATAR)/100</t>
  </si>
  <si>
    <r>
      <t xml:space="preserve"> 
          </t>
    </r>
    <r>
      <rPr>
        <sz val="8"/>
        <rFont val="Arial"/>
        <family val="2"/>
      </rPr>
      <t xml:space="preserve">PODER JUDICIÁRIO </t>
    </r>
    <r>
      <rPr>
        <b/>
        <sz val="8"/>
        <rFont val="Arial"/>
        <family val="2"/>
      </rPr>
      <t xml:space="preserve">
              </t>
    </r>
    <r>
      <rPr>
        <b/>
        <sz val="10"/>
        <rFont val="Arial"/>
        <family val="2"/>
      </rPr>
      <t>JUSTIÇA FEDERAL</t>
    </r>
  </si>
  <si>
    <t>. Hidráulica</t>
  </si>
  <si>
    <t>. CFTV e Controle de Acesso.</t>
  </si>
  <si>
    <t>. CFTV e Controle de Acesso</t>
  </si>
  <si>
    <t>. Águas pluviais</t>
  </si>
  <si>
    <t>Estudo dos condicionantes legais vigentes (uso do solo, plano diretor municipal, etc)</t>
  </si>
  <si>
    <t>PARCIAL SERVIÇOS =</t>
  </si>
  <si>
    <t>TOTAIS:</t>
  </si>
  <si>
    <t xml:space="preserve">TOTAL DO ORÇAMENTO DO LICITANTE COM BDI: </t>
  </si>
  <si>
    <t>MÁXIMO % SOBRE O VALOR DE TODOS OS PROJETOS</t>
  </si>
  <si>
    <t>% VALOR GLOBAL LICITADO</t>
  </si>
  <si>
    <t>PERCENTUAL MÁXIMO PARA A CONTRATAÇÃO DA TOTALIDADE DOS PROJETOS</t>
  </si>
  <si>
    <t>01.08</t>
  </si>
  <si>
    <t>Serviços de levantamento Topográfico Planialtimétrico e Sondagem à Percussão</t>
  </si>
  <si>
    <t>MÁXIMO % SOBRE O VALOR DO SERVIÇO</t>
  </si>
  <si>
    <t>DESCRIÇÃO ( COMPLEMENTO DO ITEM 01.00 - ESTUDOS PRELIMINARES)</t>
  </si>
  <si>
    <t xml:space="preserve">TOTAL PARCIAL DO ORÇAMENTO DO LICITANTE COM BDI: </t>
  </si>
  <si>
    <t>ESTUDOS PRELIMINARES + LEVANT. TOPO E SONDAGEM</t>
  </si>
  <si>
    <t>CUSTO MÁXIMO COM SONDAGEM E LEVANTAMENTO PLAN.:</t>
  </si>
  <si>
    <t>dd/mm/2015</t>
  </si>
  <si>
    <t>PLANILHA DE CUSTOS DE PROJETOS DA JUSTIÇA FEDERAL</t>
  </si>
  <si>
    <t>ÓRGÃO CONTRATANTE: JUSTIÇA FEDERAL DE PRIMEIRO GRAU - SEÇÃO JUDICIÁRIA DO PARÁ</t>
  </si>
  <si>
    <t>ELABORAÇÃO DE PROJETOS PARA A CONSTRUÇÃO DO EDIFÍCIO SEDE DA SUBSEÇÃO JUDICIÁRIA DE ITAITUBA</t>
  </si>
  <si>
    <t>ENDEREÇO DA OBRA: TRAV. JOSÉ RIBEIRO DOS ANJOS, S/N, (entre Av. Marechal Rondon e Trav. Haroldo Veloso), BAIRRO BOA ESPERANÇA, ITAITUBA/PA, CEP 68.180-635</t>
  </si>
  <si>
    <t>ESTUDOS PRELIMINARES (COMPLEMENTO)</t>
  </si>
  <si>
    <t>ESTUDOS PRELIMINARES + LEV. TOP. E SOND.</t>
  </si>
  <si>
    <t>1ª ETAPA EM DIAS</t>
  </si>
  <si>
    <t>PRAZO EXEC.</t>
  </si>
  <si>
    <t>ANÁLISE</t>
  </si>
  <si>
    <t>CORR.</t>
  </si>
  <si>
    <t>2ª ETAPA EM DIAS</t>
  </si>
  <si>
    <t>3ª ETAPA EM DIAS</t>
  </si>
  <si>
    <t>4ª ETAPA EM DIAS</t>
  </si>
  <si>
    <t>* ANÁLISE: Prazo de análise das entregas pela Administração.</t>
  </si>
  <si>
    <t>* CORR.: Prazo de correção dos documentos técnicos pela CONTRATADA.</t>
  </si>
</sst>
</file>

<file path=xl/styles.xml><?xml version="1.0" encoding="utf-8"?>
<styleSheet xmlns="http://schemas.openxmlformats.org/spreadsheetml/2006/main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_-&quot;R$ &quot;* #,##0.00_-;&quot;-R$ &quot;* #,##0.00_-;_-&quot;R$ &quot;* \-??_-;_-@_-"/>
    <numFmt numFmtId="167" formatCode="dd/mm/yy;@"/>
    <numFmt numFmtId="168" formatCode="_-[$R$-416]\ * #,##0.00_-;\-[$R$-416]\ * #,##0.00_-;_-[$R$-416]\ * &quot;-&quot;??_-;_-@_-"/>
    <numFmt numFmtId="169" formatCode="0.000%"/>
    <numFmt numFmtId="170" formatCode="0.00000%"/>
    <numFmt numFmtId="171" formatCode="_-&quot;R$&quot;\ * #,##0.00_-;\-&quot;R$&quot;\ * #,##0.00_-;_-&quot;R$&quot;\ * &quot;-&quot;???_-;_-@_-"/>
    <numFmt numFmtId="172" formatCode="0.0000%"/>
  </numFmts>
  <fonts count="41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.5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3" fillId="0" borderId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433">
    <xf numFmtId="0" fontId="0" fillId="0" borderId="0" xfId="0"/>
    <xf numFmtId="0" fontId="8" fillId="0" borderId="0" xfId="0" quotePrefix="1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4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/>
      <protection hidden="1"/>
    </xf>
    <xf numFmtId="167" fontId="16" fillId="0" borderId="0" xfId="0" applyNumberFormat="1" applyFont="1" applyAlignment="1" applyProtection="1">
      <alignment wrapText="1"/>
      <protection hidden="1"/>
    </xf>
    <xf numFmtId="0" fontId="9" fillId="5" borderId="0" xfId="0" applyNumberFormat="1" applyFont="1" applyFill="1" applyBorder="1" applyAlignment="1" applyProtection="1">
      <alignment horizontal="left"/>
      <protection hidden="1"/>
    </xf>
    <xf numFmtId="0" fontId="9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Border="1" applyAlignment="1" applyProtection="1">
      <alignment vertical="center"/>
      <protection hidden="1"/>
    </xf>
    <xf numFmtId="4" fontId="4" fillId="5" borderId="0" xfId="0" applyNumberFormat="1" applyFont="1" applyFill="1" applyBorder="1" applyAlignment="1" applyProtection="1">
      <alignment horizontal="center" vertical="center" wrapText="1"/>
      <protection hidden="1"/>
    </xf>
    <xf numFmtId="43" fontId="2" fillId="0" borderId="0" xfId="1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Protection="1">
      <protection hidden="1"/>
    </xf>
    <xf numFmtId="4" fontId="2" fillId="0" borderId="0" xfId="0" applyNumberFormat="1" applyFont="1" applyProtection="1">
      <protection hidden="1"/>
    </xf>
    <xf numFmtId="10" fontId="2" fillId="0" borderId="0" xfId="0" applyNumberFormat="1" applyFont="1" applyProtection="1">
      <protection hidden="1"/>
    </xf>
    <xf numFmtId="168" fontId="2" fillId="0" borderId="0" xfId="10" applyNumberFormat="1" applyFont="1" applyProtection="1">
      <protection hidden="1"/>
    </xf>
    <xf numFmtId="44" fontId="2" fillId="0" borderId="0" xfId="13" applyFont="1" applyProtection="1"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3" fontId="2" fillId="0" borderId="0" xfId="11" applyFont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44" fontId="2" fillId="0" borderId="0" xfId="13" applyFont="1" applyAlignment="1" applyProtection="1">
      <alignment vertical="center"/>
      <protection hidden="1"/>
    </xf>
    <xf numFmtId="0" fontId="2" fillId="0" borderId="1" xfId="0" applyFont="1" applyBorder="1" applyProtection="1"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5" applyFill="1" applyAlignment="1">
      <alignment vertical="center"/>
    </xf>
    <xf numFmtId="0" fontId="0" fillId="0" borderId="0" xfId="0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0" xfId="5" applyFont="1" applyBorder="1" applyAlignment="1">
      <alignment vertical="center"/>
    </xf>
    <xf numFmtId="0" fontId="9" fillId="0" borderId="0" xfId="5" applyFont="1" applyAlignment="1">
      <alignment horizontal="center" vertical="center"/>
    </xf>
    <xf numFmtId="0" fontId="1" fillId="0" borderId="0" xfId="5" applyFont="1" applyFill="1" applyAlignment="1">
      <alignment horizontal="left" vertical="center"/>
    </xf>
    <xf numFmtId="0" fontId="9" fillId="0" borderId="0" xfId="5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center" vertical="center"/>
    </xf>
    <xf numFmtId="0" fontId="1" fillId="0" borderId="0" xfId="5" applyFill="1" applyAlignment="1">
      <alignment horizontal="center" vertical="center"/>
    </xf>
    <xf numFmtId="164" fontId="1" fillId="0" borderId="0" xfId="5" applyNumberFormat="1" applyFill="1" applyAlignment="1">
      <alignment vertical="center"/>
    </xf>
    <xf numFmtId="0" fontId="9" fillId="0" borderId="0" xfId="5" applyFont="1" applyFill="1" applyBorder="1" applyAlignment="1">
      <alignment vertical="center"/>
    </xf>
    <xf numFmtId="0" fontId="20" fillId="0" borderId="0" xfId="5" applyFont="1" applyFill="1" applyAlignment="1">
      <alignment horizontal="center" vertical="center"/>
    </xf>
    <xf numFmtId="0" fontId="8" fillId="0" borderId="0" xfId="5" applyFont="1" applyFill="1" applyBorder="1" applyAlignment="1">
      <alignment horizontal="left" vertical="center"/>
    </xf>
    <xf numFmtId="0" fontId="8" fillId="0" borderId="0" xfId="0" quotePrefix="1" applyFont="1" applyFill="1" applyBorder="1" applyAlignment="1" applyProtection="1">
      <alignment horizontal="center" vertical="center" wrapText="1"/>
      <protection hidden="1"/>
    </xf>
    <xf numFmtId="0" fontId="1" fillId="0" borderId="0" xfId="5" applyFont="1" applyFill="1" applyBorder="1" applyAlignment="1">
      <alignment horizontal="left" vertical="center"/>
    </xf>
    <xf numFmtId="0" fontId="9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9" fillId="0" borderId="0" xfId="5" applyFont="1" applyFill="1" applyBorder="1" applyAlignment="1">
      <alignment horizontal="right" vertical="center"/>
    </xf>
    <xf numFmtId="0" fontId="9" fillId="0" borderId="0" xfId="0" applyNumberFormat="1" applyFont="1" applyBorder="1" applyAlignment="1" applyProtection="1">
      <alignment horizontal="left"/>
      <protection hidden="1"/>
    </xf>
    <xf numFmtId="0" fontId="6" fillId="0" borderId="0" xfId="0" quotePrefix="1" applyNumberFormat="1" applyFont="1" applyBorder="1" applyAlignment="1" applyProtection="1">
      <alignment horizontal="left"/>
      <protection hidden="1"/>
    </xf>
    <xf numFmtId="0" fontId="22" fillId="0" borderId="0" xfId="0" applyFont="1" applyProtection="1">
      <protection hidden="1"/>
    </xf>
    <xf numFmtId="169" fontId="0" fillId="6" borderId="2" xfId="1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/>
      <protection hidden="1"/>
    </xf>
    <xf numFmtId="4" fontId="2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4" fillId="8" borderId="3" xfId="0" applyFont="1" applyFill="1" applyBorder="1" applyAlignment="1" applyProtection="1">
      <alignment horizontal="left" vertical="center" wrapText="1"/>
      <protection hidden="1"/>
    </xf>
    <xf numFmtId="4" fontId="4" fillId="8" borderId="3" xfId="0" applyNumberFormat="1" applyFont="1" applyFill="1" applyBorder="1" applyAlignment="1" applyProtection="1">
      <alignment horizontal="center" vertical="center" wrapText="1"/>
      <protection hidden="1"/>
    </xf>
    <xf numFmtId="44" fontId="4" fillId="8" borderId="3" xfId="13" applyFont="1" applyFill="1" applyBorder="1" applyAlignment="1" applyProtection="1">
      <alignment horizontal="center" vertical="center" wrapText="1"/>
      <protection hidden="1"/>
    </xf>
    <xf numFmtId="10" fontId="4" fillId="8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44" fontId="7" fillId="5" borderId="0" xfId="0" applyNumberFormat="1" applyFont="1" applyFill="1" applyBorder="1" applyAlignment="1" applyProtection="1">
      <alignment horizontal="center" vertical="center"/>
      <protection hidden="1"/>
    </xf>
    <xf numFmtId="4" fontId="7" fillId="5" borderId="0" xfId="0" applyNumberFormat="1" applyFont="1" applyFill="1" applyBorder="1" applyAlignment="1" applyProtection="1">
      <alignment horizontal="center" vertical="center"/>
      <protection hidden="1"/>
    </xf>
    <xf numFmtId="169" fontId="7" fillId="5" borderId="0" xfId="10" applyNumberFormat="1" applyFont="1" applyFill="1" applyBorder="1" applyAlignment="1" applyProtection="1">
      <alignment horizontal="center" vertical="center"/>
      <protection hidden="1"/>
    </xf>
    <xf numFmtId="9" fontId="4" fillId="5" borderId="0" xfId="10" applyFont="1" applyFill="1" applyBorder="1" applyAlignment="1" applyProtection="1">
      <alignment vertical="center" wrapText="1"/>
      <protection hidden="1"/>
    </xf>
    <xf numFmtId="44" fontId="4" fillId="8" borderId="3" xfId="13" applyFont="1" applyFill="1" applyBorder="1" applyAlignment="1" applyProtection="1">
      <alignment horizontal="right" vertical="center" wrapText="1"/>
      <protection hidden="1"/>
    </xf>
    <xf numFmtId="0" fontId="9" fillId="10" borderId="5" xfId="0" applyNumberFormat="1" applyFont="1" applyFill="1" applyBorder="1" applyAlignment="1" applyProtection="1">
      <alignment horizontal="left"/>
      <protection hidden="1"/>
    </xf>
    <xf numFmtId="0" fontId="0" fillId="10" borderId="5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9" fillId="10" borderId="7" xfId="0" applyNumberFormat="1" applyFont="1" applyFill="1" applyBorder="1" applyAlignment="1" applyProtection="1">
      <alignment wrapText="1"/>
      <protection hidden="1"/>
    </xf>
    <xf numFmtId="0" fontId="9" fillId="10" borderId="8" xfId="0" applyNumberFormat="1" applyFont="1" applyFill="1" applyBorder="1" applyAlignment="1" applyProtection="1">
      <alignment wrapText="1"/>
      <protection hidden="1"/>
    </xf>
    <xf numFmtId="0" fontId="9" fillId="10" borderId="9" xfId="0" applyNumberFormat="1" applyFont="1" applyFill="1" applyBorder="1" applyAlignment="1" applyProtection="1">
      <protection hidden="1"/>
    </xf>
    <xf numFmtId="0" fontId="9" fillId="10" borderId="6" xfId="0" applyNumberFormat="1" applyFont="1" applyFill="1" applyBorder="1" applyAlignment="1" applyProtection="1">
      <protection hidden="1"/>
    </xf>
    <xf numFmtId="0" fontId="9" fillId="10" borderId="10" xfId="0" applyNumberFormat="1" applyFont="1" applyFill="1" applyBorder="1" applyAlignment="1" applyProtection="1">
      <alignment horizontal="left"/>
      <protection hidden="1"/>
    </xf>
    <xf numFmtId="0" fontId="9" fillId="10" borderId="8" xfId="0" applyNumberFormat="1" applyFont="1" applyFill="1" applyBorder="1" applyAlignment="1" applyProtection="1">
      <alignment horizontal="left"/>
      <protection hidden="1"/>
    </xf>
    <xf numFmtId="14" fontId="9" fillId="0" borderId="0" xfId="5" applyNumberFormat="1" applyFont="1" applyFill="1" applyBorder="1" applyAlignment="1">
      <alignment horizontal="left" vertical="center"/>
    </xf>
    <xf numFmtId="0" fontId="1" fillId="0" borderId="3" xfId="5" applyFont="1" applyFill="1" applyBorder="1" applyAlignment="1">
      <alignment vertical="center"/>
    </xf>
    <xf numFmtId="44" fontId="8" fillId="0" borderId="3" xfId="13" applyFont="1" applyFill="1" applyBorder="1" applyAlignment="1">
      <alignment vertical="center"/>
    </xf>
    <xf numFmtId="0" fontId="9" fillId="5" borderId="0" xfId="5" applyFont="1" applyFill="1" applyAlignment="1">
      <alignment vertical="center"/>
    </xf>
    <xf numFmtId="0" fontId="1" fillId="10" borderId="6" xfId="0" applyFont="1" applyFill="1" applyBorder="1" applyProtection="1">
      <protection hidden="1"/>
    </xf>
    <xf numFmtId="0" fontId="9" fillId="10" borderId="10" xfId="0" applyNumberFormat="1" applyFont="1" applyFill="1" applyBorder="1" applyAlignment="1" applyProtection="1">
      <protection hidden="1"/>
    </xf>
    <xf numFmtId="0" fontId="9" fillId="5" borderId="0" xfId="0" applyNumberFormat="1" applyFont="1" applyFill="1" applyBorder="1" applyAlignment="1" applyProtection="1">
      <protection hidden="1"/>
    </xf>
    <xf numFmtId="0" fontId="0" fillId="5" borderId="0" xfId="0" applyFill="1" applyProtection="1">
      <protection hidden="1"/>
    </xf>
    <xf numFmtId="0" fontId="9" fillId="4" borderId="3" xfId="0" applyNumberFormat="1" applyFont="1" applyFill="1" applyBorder="1" applyAlignment="1" applyProtection="1">
      <alignment vertical="center"/>
      <protection hidden="1"/>
    </xf>
    <xf numFmtId="0" fontId="9" fillId="4" borderId="2" xfId="0" applyNumberFormat="1" applyFont="1" applyFill="1" applyBorder="1" applyAlignment="1" applyProtection="1">
      <alignment vertical="center"/>
      <protection hidden="1"/>
    </xf>
    <xf numFmtId="0" fontId="9" fillId="4" borderId="6" xfId="0" quotePrefix="1" applyNumberFormat="1" applyFont="1" applyFill="1" applyBorder="1" applyAlignment="1" applyProtection="1">
      <protection hidden="1"/>
    </xf>
    <xf numFmtId="0" fontId="7" fillId="4" borderId="5" xfId="0" applyFont="1" applyFill="1" applyBorder="1" applyAlignment="1" applyProtection="1">
      <alignment vertical="top"/>
      <protection hidden="1"/>
    </xf>
    <xf numFmtId="4" fontId="2" fillId="8" borderId="5" xfId="0" applyNumberFormat="1" applyFont="1" applyFill="1" applyBorder="1" applyAlignment="1" applyProtection="1">
      <alignment vertical="center" wrapText="1"/>
      <protection hidden="1"/>
    </xf>
    <xf numFmtId="4" fontId="2" fillId="8" borderId="0" xfId="0" applyNumberFormat="1" applyFont="1" applyFill="1" applyBorder="1" applyAlignment="1" applyProtection="1">
      <alignment vertical="center" wrapText="1"/>
      <protection hidden="1"/>
    </xf>
    <xf numFmtId="4" fontId="2" fillId="8" borderId="3" xfId="0" applyNumberFormat="1" applyFont="1" applyFill="1" applyBorder="1" applyAlignment="1" applyProtection="1">
      <alignment vertical="center" wrapText="1"/>
      <protection hidden="1"/>
    </xf>
    <xf numFmtId="4" fontId="2" fillId="8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8" borderId="3" xfId="0" applyNumberFormat="1" applyFont="1" applyFill="1" applyBorder="1" applyAlignment="1" applyProtection="1">
      <alignment horizontal="right" vertical="center" wrapText="1"/>
      <protection hidden="1"/>
    </xf>
    <xf numFmtId="44" fontId="4" fillId="8" borderId="11" xfId="13" applyFont="1" applyFill="1" applyBorder="1" applyAlignment="1" applyProtection="1">
      <alignment horizontal="right" vertical="center"/>
      <protection hidden="1"/>
    </xf>
    <xf numFmtId="44" fontId="4" fillId="8" borderId="2" xfId="13" applyFont="1" applyFill="1" applyBorder="1" applyAlignment="1" applyProtection="1">
      <alignment horizontal="center" vertical="center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2" xfId="0" applyNumberFormat="1" applyFont="1" applyFill="1" applyBorder="1" applyAlignment="1" applyProtection="1">
      <alignment horizontal="right" vertical="center" wrapText="1"/>
      <protection hidden="1"/>
    </xf>
    <xf numFmtId="44" fontId="4" fillId="8" borderId="11" xfId="13" applyFont="1" applyFill="1" applyBorder="1" applyAlignment="1" applyProtection="1">
      <alignment horizontal="right" vertical="center" wrapText="1"/>
      <protection hidden="1"/>
    </xf>
    <xf numFmtId="0" fontId="4" fillId="8" borderId="1" xfId="0" applyFont="1" applyFill="1" applyBorder="1" applyAlignment="1" applyProtection="1">
      <alignment horizontal="left" vertical="center" wrapText="1"/>
      <protection hidden="1"/>
    </xf>
    <xf numFmtId="4" fontId="4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10" fontId="4" fillId="8" borderId="1" xfId="0" applyNumberFormat="1" applyFont="1" applyFill="1" applyBorder="1" applyAlignment="1" applyProtection="1">
      <alignment horizontal="center" vertical="center"/>
      <protection hidden="1"/>
    </xf>
    <xf numFmtId="10" fontId="2" fillId="8" borderId="1" xfId="0" applyNumberFormat="1" applyFont="1" applyFill="1" applyBorder="1" applyAlignment="1" applyProtection="1">
      <alignment horizontal="center" vertical="center"/>
      <protection hidden="1"/>
    </xf>
    <xf numFmtId="4" fontId="2" fillId="8" borderId="12" xfId="0" applyNumberFormat="1" applyFont="1" applyFill="1" applyBorder="1" applyAlignment="1" applyProtection="1">
      <alignment horizontal="right" vertical="center" wrapText="1"/>
      <protection hidden="1"/>
    </xf>
    <xf numFmtId="4" fontId="2" fillId="8" borderId="2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44" fontId="4" fillId="8" borderId="2" xfId="13" applyFont="1" applyFill="1" applyBorder="1" applyAlignment="1" applyProtection="1">
      <alignment horizontal="center" vertical="center" wrapText="1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4" fillId="8" borderId="1" xfId="0" applyFont="1" applyFill="1" applyBorder="1" applyAlignment="1" applyProtection="1">
      <alignment horizontal="center" vertical="center" wrapText="1"/>
      <protection hidden="1"/>
    </xf>
    <xf numFmtId="10" fontId="4" fillId="8" borderId="1" xfId="0" applyNumberFormat="1" applyFont="1" applyFill="1" applyBorder="1" applyAlignment="1" applyProtection="1">
      <alignment horizontal="center"/>
      <protection hidden="1"/>
    </xf>
    <xf numFmtId="0" fontId="2" fillId="8" borderId="0" xfId="0" applyFont="1" applyFill="1" applyProtection="1">
      <protection hidden="1"/>
    </xf>
    <xf numFmtId="3" fontId="2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0" applyNumberFormat="1" applyFont="1" applyFill="1" applyBorder="1" applyAlignment="1" applyProtection="1">
      <protection hidden="1"/>
    </xf>
    <xf numFmtId="0" fontId="7" fillId="5" borderId="1" xfId="0" applyFont="1" applyFill="1" applyBorder="1" applyAlignment="1" applyProtection="1">
      <alignment horizontal="center" vertical="top" shrinkToFit="1"/>
      <protection hidden="1"/>
    </xf>
    <xf numFmtId="0" fontId="7" fillId="5" borderId="1" xfId="0" applyFont="1" applyFill="1" applyBorder="1" applyAlignment="1" applyProtection="1">
      <alignment vertical="top"/>
      <protection hidden="1"/>
    </xf>
    <xf numFmtId="0" fontId="0" fillId="0" borderId="1" xfId="0" applyBorder="1" applyAlignment="1" applyProtection="1">
      <protection hidden="1"/>
    </xf>
    <xf numFmtId="17" fontId="7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5" borderId="1" xfId="0" applyFont="1" applyFill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7" fillId="5" borderId="1" xfId="0" applyFont="1" applyFill="1" applyBorder="1" applyAlignment="1" applyProtection="1">
      <alignment vertical="center"/>
      <protection hidden="1"/>
    </xf>
    <xf numFmtId="0" fontId="9" fillId="4" borderId="7" xfId="0" quotePrefix="1" applyNumberFormat="1" applyFont="1" applyFill="1" applyBorder="1" applyAlignment="1" applyProtection="1">
      <protection hidden="1"/>
    </xf>
    <xf numFmtId="0" fontId="7" fillId="4" borderId="8" xfId="0" applyFont="1" applyFill="1" applyBorder="1" applyAlignment="1" applyProtection="1">
      <alignment vertical="top"/>
      <protection hidden="1"/>
    </xf>
    <xf numFmtId="0" fontId="9" fillId="10" borderId="9" xfId="0" applyNumberFormat="1" applyFont="1" applyFill="1" applyBorder="1" applyAlignment="1" applyProtection="1">
      <protection locked="0" hidden="1"/>
    </xf>
    <xf numFmtId="44" fontId="7" fillId="5" borderId="1" xfId="13" applyFont="1" applyFill="1" applyBorder="1" applyAlignment="1" applyProtection="1">
      <alignment horizontal="center" vertical="center"/>
      <protection hidden="1"/>
    </xf>
    <xf numFmtId="0" fontId="9" fillId="4" borderId="9" xfId="0" quotePrefix="1" applyNumberFormat="1" applyFont="1" applyFill="1" applyBorder="1" applyAlignment="1" applyProtection="1">
      <protection locked="0"/>
    </xf>
    <xf numFmtId="0" fontId="7" fillId="4" borderId="10" xfId="0" applyFont="1" applyFill="1" applyBorder="1" applyAlignment="1" applyProtection="1">
      <alignment vertical="top"/>
      <protection locked="0"/>
    </xf>
    <xf numFmtId="0" fontId="9" fillId="10" borderId="5" xfId="0" applyFont="1" applyFill="1" applyBorder="1" applyProtection="1">
      <protection locked="0"/>
    </xf>
    <xf numFmtId="4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44" fontId="7" fillId="4" borderId="1" xfId="13" applyFont="1" applyFill="1" applyBorder="1" applyAlignment="1" applyProtection="1">
      <alignment horizontal="right" vertical="center" wrapText="1"/>
      <protection locked="0"/>
    </xf>
    <xf numFmtId="0" fontId="9" fillId="10" borderId="6" xfId="0" applyNumberFormat="1" applyFont="1" applyFill="1" applyBorder="1" applyAlignment="1" applyProtection="1">
      <protection locked="0"/>
    </xf>
    <xf numFmtId="14" fontId="9" fillId="10" borderId="5" xfId="0" applyNumberFormat="1" applyFont="1" applyFill="1" applyBorder="1" applyAlignment="1" applyProtection="1">
      <alignment horizontal="left"/>
      <protection locked="0"/>
    </xf>
    <xf numFmtId="0" fontId="29" fillId="10" borderId="7" xfId="0" applyNumberFormat="1" applyFont="1" applyFill="1" applyBorder="1" applyAlignment="1" applyProtection="1"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protection hidden="1"/>
    </xf>
    <xf numFmtId="0" fontId="9" fillId="0" borderId="0" xfId="0" quotePrefix="1" applyNumberFormat="1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4" fillId="9" borderId="3" xfId="0" applyFont="1" applyFill="1" applyBorder="1" applyAlignment="1" applyProtection="1">
      <alignment horizontal="center" vertical="center" wrapText="1"/>
      <protection hidden="1"/>
    </xf>
    <xf numFmtId="0" fontId="4" fillId="9" borderId="3" xfId="0" applyFont="1" applyFill="1" applyBorder="1" applyAlignment="1" applyProtection="1">
      <alignment horizontal="left" vertical="center" wrapText="1"/>
      <protection hidden="1"/>
    </xf>
    <xf numFmtId="4" fontId="4" fillId="9" borderId="3" xfId="0" applyNumberFormat="1" applyFont="1" applyFill="1" applyBorder="1" applyAlignment="1" applyProtection="1">
      <alignment horizontal="right" vertical="center" wrapText="1"/>
      <protection hidden="1"/>
    </xf>
    <xf numFmtId="4" fontId="4" fillId="9" borderId="3" xfId="0" applyNumberFormat="1" applyFont="1" applyFill="1" applyBorder="1" applyAlignment="1" applyProtection="1">
      <alignment horizontal="center" vertical="center"/>
      <protection hidden="1"/>
    </xf>
    <xf numFmtId="0" fontId="4" fillId="9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wrapText="1"/>
      <protection hidden="1"/>
    </xf>
    <xf numFmtId="0" fontId="4" fillId="0" borderId="3" xfId="0" applyFont="1" applyFill="1" applyBorder="1" applyAlignment="1" applyProtection="1">
      <alignment horizontal="left" wrapText="1"/>
      <protection hidden="1"/>
    </xf>
    <xf numFmtId="0" fontId="4" fillId="0" borderId="3" xfId="0" applyFont="1" applyFill="1" applyBorder="1" applyAlignment="1" applyProtection="1">
      <alignment horizontal="center" vertical="top" wrapText="1"/>
      <protection hidden="1"/>
    </xf>
    <xf numFmtId="4" fontId="4" fillId="0" borderId="3" xfId="0" applyNumberFormat="1" applyFont="1" applyFill="1" applyBorder="1" applyAlignment="1" applyProtection="1">
      <alignment horizontal="right" vertical="top" wrapText="1"/>
      <protection hidden="1"/>
    </xf>
    <xf numFmtId="10" fontId="2" fillId="0" borderId="3" xfId="1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44" fontId="4" fillId="0" borderId="0" xfId="13" applyFont="1" applyFill="1" applyBorder="1" applyAlignment="1" applyProtection="1">
      <alignment vertical="center" wrapText="1"/>
      <protection hidden="1"/>
    </xf>
    <xf numFmtId="44" fontId="4" fillId="0" borderId="3" xfId="13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protection hidden="1"/>
    </xf>
    <xf numFmtId="4" fontId="2" fillId="0" borderId="0" xfId="0" applyNumberFormat="1" applyFont="1" applyAlignment="1" applyProtection="1"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4" fontId="2" fillId="0" borderId="0" xfId="0" applyNumberFormat="1" applyFont="1" applyBorder="1" applyAlignment="1" applyProtection="1">
      <protection hidden="1"/>
    </xf>
    <xf numFmtId="0" fontId="20" fillId="0" borderId="0" xfId="0" applyFont="1" applyAlignment="1">
      <alignment vertical="center"/>
    </xf>
    <xf numFmtId="0" fontId="8" fillId="0" borderId="0" xfId="5" applyFont="1" applyBorder="1" applyAlignment="1">
      <alignment vertical="center"/>
    </xf>
    <xf numFmtId="0" fontId="30" fillId="0" borderId="0" xfId="0" quotePrefix="1" applyFont="1" applyFill="1" applyBorder="1" applyAlignment="1" applyProtection="1">
      <alignment horizontal="center" vertical="center" wrapText="1"/>
      <protection hidden="1"/>
    </xf>
    <xf numFmtId="0" fontId="30" fillId="0" borderId="0" xfId="0" quotePrefix="1" applyFont="1" applyFill="1" applyBorder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3" fillId="0" borderId="0" xfId="0" applyFont="1" applyProtection="1">
      <protection hidden="1"/>
    </xf>
    <xf numFmtId="4" fontId="35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/>
      <protection hidden="1"/>
    </xf>
    <xf numFmtId="0" fontId="32" fillId="0" borderId="0" xfId="0" applyNumberFormat="1" applyFont="1" applyFill="1" applyBorder="1" applyAlignment="1" applyProtection="1">
      <alignment horizontal="center"/>
      <protection hidden="1"/>
    </xf>
    <xf numFmtId="0" fontId="32" fillId="0" borderId="0" xfId="0" applyNumberFormat="1" applyFont="1" applyBorder="1" applyAlignment="1" applyProtection="1">
      <alignment horizontal="left"/>
      <protection hidden="1"/>
    </xf>
    <xf numFmtId="0" fontId="32" fillId="0" borderId="0" xfId="0" quotePrefix="1" applyNumberFormat="1" applyFont="1" applyFill="1" applyBorder="1" applyAlignment="1" applyProtection="1">
      <alignment horizontal="center"/>
      <protection hidden="1"/>
    </xf>
    <xf numFmtId="0" fontId="32" fillId="0" borderId="0" xfId="0" applyNumberFormat="1" applyFont="1" applyBorder="1" applyAlignment="1" applyProtection="1">
      <protection hidden="1"/>
    </xf>
    <xf numFmtId="0" fontId="32" fillId="0" borderId="0" xfId="0" quotePrefix="1" applyNumberFormat="1" applyFont="1" applyBorder="1" applyAlignment="1" applyProtection="1">
      <alignment horizontal="left"/>
      <protection hidden="1"/>
    </xf>
    <xf numFmtId="0" fontId="32" fillId="0" borderId="0" xfId="0" quotePrefix="1" applyNumberFormat="1" applyFont="1" applyBorder="1" applyAlignment="1" applyProtection="1">
      <protection hidden="1"/>
    </xf>
    <xf numFmtId="14" fontId="32" fillId="0" borderId="0" xfId="0" applyNumberFormat="1" applyFont="1" applyBorder="1" applyAlignment="1" applyProtection="1">
      <alignment horizontal="left"/>
      <protection hidden="1"/>
    </xf>
    <xf numFmtId="0" fontId="32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1" fillId="0" borderId="0" xfId="0" applyFont="1"/>
    <xf numFmtId="0" fontId="0" fillId="0" borderId="0" xfId="0"/>
    <xf numFmtId="10" fontId="0" fillId="0" borderId="0" xfId="0" applyNumberFormat="1"/>
    <xf numFmtId="9" fontId="0" fillId="0" borderId="0" xfId="10" applyFont="1"/>
    <xf numFmtId="170" fontId="0" fillId="0" borderId="0" xfId="10" applyNumberFormat="1" applyFont="1" applyProtection="1">
      <protection hidden="1"/>
    </xf>
    <xf numFmtId="0" fontId="8" fillId="0" borderId="0" xfId="0" applyFont="1" applyFill="1" applyBorder="1" applyAlignment="1" applyProtection="1">
      <alignment horizontal="left" wrapText="1"/>
      <protection hidden="1"/>
    </xf>
    <xf numFmtId="10" fontId="0" fillId="7" borderId="11" xfId="10" applyNumberFormat="1" applyFont="1" applyFill="1" applyBorder="1" applyAlignment="1">
      <alignment horizontal="center"/>
    </xf>
    <xf numFmtId="10" fontId="0" fillId="7" borderId="2" xfId="10" applyNumberFormat="1" applyFont="1" applyFill="1" applyBorder="1" applyAlignment="1">
      <alignment horizontal="center"/>
    </xf>
    <xf numFmtId="0" fontId="7" fillId="5" borderId="2" xfId="0" applyFont="1" applyFill="1" applyBorder="1" applyAlignment="1" applyProtection="1">
      <alignment horizontal="left" vertical="center" shrinkToFit="1"/>
      <protection hidden="1"/>
    </xf>
    <xf numFmtId="0" fontId="4" fillId="5" borderId="11" xfId="0" applyFont="1" applyFill="1" applyBorder="1" applyAlignment="1" applyProtection="1">
      <alignment horizontal="left" vertical="center"/>
      <protection hidden="1"/>
    </xf>
    <xf numFmtId="0" fontId="4" fillId="5" borderId="3" xfId="0" applyFont="1" applyFill="1" applyBorder="1" applyAlignment="1" applyProtection="1">
      <alignment horizontal="left" vertical="center"/>
      <protection hidden="1"/>
    </xf>
    <xf numFmtId="0" fontId="21" fillId="5" borderId="3" xfId="0" applyFont="1" applyFill="1" applyBorder="1" applyAlignment="1" applyProtection="1">
      <alignment horizontal="left" vertical="center" wrapText="1"/>
      <protection hidden="1"/>
    </xf>
    <xf numFmtId="0" fontId="21" fillId="5" borderId="2" xfId="0" applyFont="1" applyFill="1" applyBorder="1" applyAlignment="1" applyProtection="1">
      <alignment horizontal="left" vertical="center" wrapText="1"/>
      <protection hidden="1"/>
    </xf>
    <xf numFmtId="44" fontId="4" fillId="4" borderId="3" xfId="13" applyFont="1" applyFill="1" applyBorder="1" applyAlignment="1" applyProtection="1">
      <alignment vertical="center" wrapText="1"/>
      <protection hidden="1"/>
    </xf>
    <xf numFmtId="44" fontId="2" fillId="0" borderId="1" xfId="0" applyNumberFormat="1" applyFont="1" applyBorder="1" applyProtection="1">
      <protection hidden="1"/>
    </xf>
    <xf numFmtId="4" fontId="2" fillId="0" borderId="0" xfId="0" applyNumberFormat="1" applyFont="1" applyBorder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6" fillId="0" borderId="0" xfId="0" quotePrefix="1" applyFont="1" applyFill="1" applyBorder="1" applyAlignment="1" applyProtection="1">
      <alignment horizontal="left" vertical="center" wrapText="1"/>
      <protection hidden="1"/>
    </xf>
    <xf numFmtId="0" fontId="32" fillId="11" borderId="0" xfId="0" applyFont="1" applyFill="1" applyAlignment="1" applyProtection="1">
      <alignment vertical="center"/>
      <protection hidden="1"/>
    </xf>
    <xf numFmtId="0" fontId="36" fillId="11" borderId="0" xfId="0" applyFont="1" applyFill="1" applyAlignment="1" applyProtection="1">
      <alignment vertical="center"/>
      <protection hidden="1"/>
    </xf>
    <xf numFmtId="0" fontId="33" fillId="11" borderId="0" xfId="0" applyFont="1" applyFill="1" applyAlignment="1" applyProtection="1">
      <alignment horizontal="right" vertical="center"/>
      <protection hidden="1"/>
    </xf>
    <xf numFmtId="0" fontId="0" fillId="11" borderId="0" xfId="0" applyFill="1" applyAlignment="1" applyProtection="1">
      <alignment horizontal="center" vertical="center"/>
      <protection hidden="1"/>
    </xf>
    <xf numFmtId="4" fontId="2" fillId="11" borderId="0" xfId="0" applyNumberFormat="1" applyFont="1" applyFill="1" applyAlignment="1" applyProtection="1">
      <alignment horizontal="center" vertical="center"/>
      <protection hidden="1"/>
    </xf>
    <xf numFmtId="0" fontId="9" fillId="11" borderId="0" xfId="0" applyFont="1" applyFill="1" applyAlignment="1" applyProtection="1">
      <alignment horizontal="right" vertical="center"/>
      <protection hidden="1"/>
    </xf>
    <xf numFmtId="0" fontId="0" fillId="11" borderId="0" xfId="0" applyFill="1" applyAlignment="1" applyProtection="1">
      <alignment vertical="center"/>
      <protection hidden="1"/>
    </xf>
    <xf numFmtId="0" fontId="32" fillId="11" borderId="0" xfId="5" applyFont="1" applyFill="1" applyBorder="1" applyAlignment="1">
      <alignment horizontal="left" vertical="center"/>
    </xf>
    <xf numFmtId="0" fontId="32" fillId="11" borderId="0" xfId="0" applyFont="1" applyFill="1" applyAlignment="1" applyProtection="1">
      <alignment horizontal="left" vertical="center"/>
      <protection hidden="1"/>
    </xf>
    <xf numFmtId="0" fontId="6" fillId="0" borderId="0" xfId="5" applyFont="1" applyFill="1" applyAlignment="1">
      <alignment vertical="center"/>
    </xf>
    <xf numFmtId="44" fontId="2" fillId="0" borderId="1" xfId="0" applyNumberFormat="1" applyFont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2" fillId="0" borderId="0" xfId="5" applyFont="1" applyBorder="1" applyAlignment="1" applyProtection="1">
      <alignment horizontal="left" vertical="center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9" fillId="0" borderId="0" xfId="5" applyFont="1" applyFill="1" applyBorder="1" applyAlignment="1" applyProtection="1">
      <alignment vertical="center"/>
      <protection hidden="1"/>
    </xf>
    <xf numFmtId="0" fontId="9" fillId="0" borderId="0" xfId="5" applyFont="1" applyFill="1" applyBorder="1" applyAlignment="1" applyProtection="1">
      <alignment horizontal="right" vertical="center"/>
      <protection hidden="1"/>
    </xf>
    <xf numFmtId="0" fontId="1" fillId="0" borderId="0" xfId="5" applyFont="1" applyFill="1" applyBorder="1" applyAlignment="1" applyProtection="1">
      <alignment horizontal="left" vertical="center"/>
      <protection hidden="1"/>
    </xf>
    <xf numFmtId="0" fontId="1" fillId="0" borderId="0" xfId="5" applyFont="1" applyFill="1" applyAlignment="1" applyProtection="1">
      <alignment horizontal="left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4" fontId="35" fillId="0" borderId="0" xfId="0" applyNumberFormat="1" applyFont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4" fontId="35" fillId="0" borderId="0" xfId="0" applyNumberFormat="1" applyFont="1" applyAlignment="1" applyProtection="1">
      <alignment horizontal="right" vertical="center"/>
      <protection hidden="1"/>
    </xf>
    <xf numFmtId="0" fontId="39" fillId="0" borderId="0" xfId="5" quotePrefix="1" applyFont="1" applyFill="1" applyAlignmen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4" fontId="14" fillId="0" borderId="0" xfId="0" applyNumberFormat="1" applyFont="1" applyAlignment="1" applyProtection="1">
      <alignment horizontal="right" vertical="center"/>
      <protection hidden="1"/>
    </xf>
    <xf numFmtId="4" fontId="2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/>
    <xf numFmtId="0" fontId="16" fillId="0" borderId="0" xfId="0" applyFont="1"/>
    <xf numFmtId="0" fontId="12" fillId="4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horizontal="center" vertical="center"/>
      <protection hidden="1"/>
    </xf>
    <xf numFmtId="169" fontId="0" fillId="6" borderId="0" xfId="10" applyNumberFormat="1" applyFont="1" applyFill="1" applyBorder="1" applyAlignment="1" applyProtection="1">
      <alignment horizontal="center" vertical="center"/>
      <protection hidden="1"/>
    </xf>
    <xf numFmtId="10" fontId="2" fillId="10" borderId="1" xfId="1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10" fontId="2" fillId="0" borderId="0" xfId="0" applyNumberFormat="1" applyFont="1" applyBorder="1" applyAlignment="1" applyProtection="1">
      <alignment horizontal="center"/>
      <protection hidden="1"/>
    </xf>
    <xf numFmtId="10" fontId="2" fillId="0" borderId="0" xfId="0" applyNumberFormat="1" applyFont="1" applyBorder="1" applyProtection="1">
      <protection hidden="1"/>
    </xf>
    <xf numFmtId="44" fontId="2" fillId="0" borderId="0" xfId="0" applyNumberFormat="1" applyFont="1" applyBorder="1" applyProtection="1">
      <protection hidden="1"/>
    </xf>
    <xf numFmtId="10" fontId="2" fillId="0" borderId="1" xfId="10" applyNumberFormat="1" applyFont="1" applyBorder="1" applyAlignment="1" applyProtection="1">
      <alignment horizontal="center" vertical="center"/>
      <protection hidden="1"/>
    </xf>
    <xf numFmtId="0" fontId="7" fillId="6" borderId="2" xfId="0" applyFont="1" applyFill="1" applyBorder="1" applyAlignment="1" applyProtection="1">
      <alignment horizontal="center" vertical="center"/>
      <protection hidden="1"/>
    </xf>
    <xf numFmtId="44" fontId="7" fillId="6" borderId="11" xfId="0" applyNumberFormat="1" applyFont="1" applyFill="1" applyBorder="1" applyAlignment="1" applyProtection="1">
      <alignment horizontal="center" vertical="center"/>
      <protection hidden="1"/>
    </xf>
    <xf numFmtId="44" fontId="7" fillId="6" borderId="2" xfId="0" applyNumberFormat="1" applyFont="1" applyFill="1" applyBorder="1" applyAlignment="1" applyProtection="1">
      <alignment horizontal="center" vertical="center"/>
      <protection hidden="1"/>
    </xf>
    <xf numFmtId="4" fontId="7" fillId="6" borderId="1" xfId="0" applyNumberFormat="1" applyFont="1" applyFill="1" applyBorder="1" applyAlignment="1" applyProtection="1">
      <alignment horizontal="center" vertical="center"/>
      <protection hidden="1"/>
    </xf>
    <xf numFmtId="169" fontId="7" fillId="6" borderId="1" xfId="10" applyNumberFormat="1" applyFont="1" applyFill="1" applyBorder="1" applyAlignment="1" applyProtection="1">
      <alignment horizontal="center" vertical="center"/>
      <protection hidden="1"/>
    </xf>
    <xf numFmtId="10" fontId="2" fillId="8" borderId="2" xfId="0" applyNumberFormat="1" applyFont="1" applyFill="1" applyBorder="1" applyAlignment="1" applyProtection="1">
      <alignment horizontal="center" vertical="center"/>
      <protection hidden="1"/>
    </xf>
    <xf numFmtId="44" fontId="4" fillId="8" borderId="11" xfId="13" applyFont="1" applyFill="1" applyBorder="1" applyAlignment="1" applyProtection="1">
      <alignment vertical="center"/>
      <protection hidden="1"/>
    </xf>
    <xf numFmtId="44" fontId="4" fillId="8" borderId="2" xfId="13" applyFont="1" applyFill="1" applyBorder="1" applyAlignment="1" applyProtection="1">
      <alignment vertical="center"/>
      <protection hidden="1"/>
    </xf>
    <xf numFmtId="44" fontId="4" fillId="8" borderId="11" xfId="13" applyFont="1" applyFill="1" applyBorder="1" applyAlignment="1" applyProtection="1">
      <alignment vertical="center" wrapText="1"/>
      <protection hidden="1"/>
    </xf>
    <xf numFmtId="44" fontId="4" fillId="8" borderId="2" xfId="13" applyFont="1" applyFill="1" applyBorder="1" applyAlignment="1" applyProtection="1">
      <alignment vertical="center" wrapText="1"/>
      <protection hidden="1"/>
    </xf>
    <xf numFmtId="4" fontId="4" fillId="8" borderId="4" xfId="0" applyNumberFormat="1" applyFont="1" applyFill="1" applyBorder="1" applyAlignment="1" applyProtection="1">
      <alignment horizontal="center" vertical="center" wrapText="1"/>
      <protection hidden="1"/>
    </xf>
    <xf numFmtId="171" fontId="2" fillId="8" borderId="1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protection hidden="1"/>
    </xf>
    <xf numFmtId="0" fontId="2" fillId="8" borderId="0" xfId="0" applyFont="1" applyFill="1" applyBorder="1" applyAlignment="1" applyProtection="1">
      <alignment horizontal="center" wrapText="1"/>
      <protection hidden="1"/>
    </xf>
    <xf numFmtId="0" fontId="2" fillId="8" borderId="0" xfId="0" applyFont="1" applyFill="1" applyBorder="1" applyProtection="1">
      <protection hidden="1"/>
    </xf>
    <xf numFmtId="0" fontId="6" fillId="0" borderId="0" xfId="0" quotePrefix="1" applyNumberFormat="1" applyFont="1" applyBorder="1" applyAlignment="1" applyProtection="1">
      <alignment horizontal="left"/>
      <protection hidden="1"/>
    </xf>
    <xf numFmtId="10" fontId="0" fillId="0" borderId="1" xfId="10" applyNumberFormat="1" applyFont="1" applyBorder="1" applyAlignment="1" applyProtection="1">
      <alignment horizontal="center"/>
      <protection hidden="1"/>
    </xf>
    <xf numFmtId="172" fontId="0" fillId="7" borderId="3" xfId="10" applyNumberFormat="1" applyFont="1" applyFill="1" applyBorder="1" applyAlignment="1" applyProtection="1">
      <alignment horizontal="center"/>
      <protection hidden="1"/>
    </xf>
    <xf numFmtId="172" fontId="7" fillId="10" borderId="1" xfId="10" applyNumberFormat="1" applyFont="1" applyFill="1" applyBorder="1" applyAlignment="1" applyProtection="1">
      <alignment horizontal="center" vertical="center" shrinkToFit="1"/>
    </xf>
    <xf numFmtId="44" fontId="4" fillId="8" borderId="11" xfId="13" applyNumberFormat="1" applyFont="1" applyFill="1" applyBorder="1" applyAlignment="1" applyProtection="1">
      <alignment vertical="center"/>
      <protection hidden="1"/>
    </xf>
    <xf numFmtId="10" fontId="7" fillId="5" borderId="2" xfId="0" applyNumberFormat="1" applyFont="1" applyFill="1" applyBorder="1" applyAlignment="1" applyProtection="1">
      <alignment horizontal="center" vertical="center" shrinkToFit="1"/>
      <protection hidden="1"/>
    </xf>
    <xf numFmtId="4" fontId="4" fillId="8" borderId="1" xfId="0" applyNumberFormat="1" applyFont="1" applyFill="1" applyBorder="1" applyAlignment="1" applyProtection="1">
      <alignment horizontal="center" vertical="center" wrapText="1"/>
      <protection hidden="1"/>
    </xf>
    <xf numFmtId="10" fontId="7" fillId="5" borderId="1" xfId="13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2" fillId="8" borderId="11" xfId="0" applyNumberFormat="1" applyFont="1" applyFill="1" applyBorder="1" applyAlignment="1" applyProtection="1">
      <alignment vertical="center" wrapText="1"/>
      <protection hidden="1"/>
    </xf>
    <xf numFmtId="0" fontId="7" fillId="13" borderId="2" xfId="0" applyFont="1" applyFill="1" applyBorder="1" applyAlignment="1" applyProtection="1">
      <alignment horizontal="center" vertical="center"/>
      <protection hidden="1"/>
    </xf>
    <xf numFmtId="44" fontId="7" fillId="13" borderId="11" xfId="0" applyNumberFormat="1" applyFont="1" applyFill="1" applyBorder="1" applyAlignment="1" applyProtection="1">
      <alignment horizontal="center" vertical="center"/>
      <protection hidden="1"/>
    </xf>
    <xf numFmtId="44" fontId="7" fillId="13" borderId="2" xfId="0" applyNumberFormat="1" applyFont="1" applyFill="1" applyBorder="1" applyAlignment="1" applyProtection="1">
      <alignment horizontal="center" vertical="center"/>
      <protection hidden="1"/>
    </xf>
    <xf numFmtId="4" fontId="7" fillId="13" borderId="1" xfId="0" applyNumberFormat="1" applyFont="1" applyFill="1" applyBorder="1" applyAlignment="1" applyProtection="1">
      <alignment horizontal="center" vertical="center"/>
      <protection hidden="1"/>
    </xf>
    <xf numFmtId="169" fontId="7" fillId="13" borderId="1" xfId="10" applyNumberFormat="1" applyFont="1" applyFill="1" applyBorder="1" applyAlignment="1" applyProtection="1">
      <alignment horizontal="center" vertical="center"/>
      <protection hidden="1"/>
    </xf>
    <xf numFmtId="1" fontId="35" fillId="0" borderId="0" xfId="0" applyNumberFormat="1" applyFont="1" applyAlignment="1" applyProtection="1">
      <alignment vertical="center"/>
      <protection hidden="1"/>
    </xf>
    <xf numFmtId="0" fontId="37" fillId="0" borderId="0" xfId="0" quotePrefix="1" applyFont="1" applyFill="1" applyBorder="1" applyAlignment="1" applyProtection="1">
      <alignment horizontal="left" vertical="center"/>
      <protection hidden="1"/>
    </xf>
    <xf numFmtId="0" fontId="39" fillId="0" borderId="0" xfId="5" quotePrefix="1" applyFont="1" applyFill="1" applyAlignment="1" applyProtection="1">
      <alignment horizontal="center"/>
      <protection hidden="1"/>
    </xf>
    <xf numFmtId="14" fontId="35" fillId="0" borderId="0" xfId="0" applyNumberFormat="1" applyFont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2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38" fillId="3" borderId="1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hidden="1"/>
    </xf>
    <xf numFmtId="0" fontId="35" fillId="0" borderId="1" xfId="0" applyFont="1" applyFill="1" applyBorder="1" applyAlignment="1" applyProtection="1">
      <alignment horizontal="left" vertical="center" wrapText="1"/>
      <protection hidden="1"/>
    </xf>
    <xf numFmtId="44" fontId="35" fillId="0" borderId="1" xfId="13" applyFont="1" applyFill="1" applyBorder="1" applyAlignment="1" applyProtection="1">
      <alignment horizontal="right" vertical="center" wrapText="1"/>
      <protection hidden="1"/>
    </xf>
    <xf numFmtId="1" fontId="35" fillId="0" borderId="1" xfId="10" applyNumberFormat="1" applyFont="1" applyBorder="1" applyAlignment="1" applyProtection="1">
      <alignment horizontal="center" vertical="center"/>
      <protection hidden="1"/>
    </xf>
    <xf numFmtId="1" fontId="35" fillId="5" borderId="1" xfId="10" applyNumberFormat="1" applyFont="1" applyFill="1" applyBorder="1" applyAlignment="1" applyProtection="1">
      <alignment horizontal="center" vertical="center"/>
      <protection hidden="1"/>
    </xf>
    <xf numFmtId="1" fontId="35" fillId="5" borderId="1" xfId="0" applyNumberFormat="1" applyFont="1" applyFill="1" applyBorder="1" applyAlignment="1" applyProtection="1">
      <alignment horizontal="center" vertical="center"/>
      <protection hidden="1"/>
    </xf>
    <xf numFmtId="0" fontId="35" fillId="0" borderId="1" xfId="0" applyFont="1" applyFill="1" applyBorder="1" applyAlignment="1" applyProtection="1">
      <alignment horizontal="left" vertical="center"/>
      <protection hidden="1"/>
    </xf>
    <xf numFmtId="44" fontId="38" fillId="4" borderId="1" xfId="13" applyFont="1" applyFill="1" applyBorder="1" applyAlignment="1" applyProtection="1">
      <alignment horizontal="right" vertical="center" wrapText="1"/>
      <protection hidden="1"/>
    </xf>
    <xf numFmtId="0" fontId="35" fillId="4" borderId="1" xfId="0" applyFont="1" applyFill="1" applyBorder="1" applyAlignment="1" applyProtection="1">
      <alignment vertical="center"/>
      <protection hidden="1"/>
    </xf>
    <xf numFmtId="1" fontId="35" fillId="5" borderId="1" xfId="10" applyNumberFormat="1" applyFont="1" applyFill="1" applyBorder="1" applyAlignment="1" applyProtection="1">
      <alignment horizontal="center" vertical="center"/>
      <protection locked="0"/>
    </xf>
    <xf numFmtId="10" fontId="4" fillId="4" borderId="2" xfId="10" applyNumberFormat="1" applyFont="1" applyFill="1" applyBorder="1" applyAlignment="1" applyProtection="1">
      <alignment horizontal="center" vertical="center"/>
      <protection hidden="1"/>
    </xf>
    <xf numFmtId="1" fontId="32" fillId="0" borderId="0" xfId="0" applyNumberFormat="1" applyFont="1" applyAlignment="1" applyProtection="1">
      <alignment horizontal="left" vertical="center"/>
      <protection hidden="1"/>
    </xf>
    <xf numFmtId="14" fontId="35" fillId="0" borderId="0" xfId="0" applyNumberFormat="1" applyFont="1" applyAlignment="1" applyProtection="1">
      <alignment vertical="center"/>
      <protection hidden="1"/>
    </xf>
    <xf numFmtId="1" fontId="38" fillId="0" borderId="0" xfId="0" applyNumberFormat="1" applyFont="1" applyAlignment="1" applyProtection="1">
      <alignment vertical="center"/>
      <protection hidden="1"/>
    </xf>
    <xf numFmtId="44" fontId="9" fillId="0" borderId="0" xfId="0" applyNumberFormat="1" applyFont="1" applyBorder="1" applyProtection="1">
      <protection hidden="1"/>
    </xf>
    <xf numFmtId="4" fontId="4" fillId="8" borderId="9" xfId="0" applyNumberFormat="1" applyFont="1" applyFill="1" applyBorder="1" applyAlignment="1" applyProtection="1">
      <alignment horizontal="center" wrapText="1"/>
      <protection hidden="1"/>
    </xf>
    <xf numFmtId="4" fontId="4" fillId="8" borderId="7" xfId="0" applyNumberFormat="1" applyFont="1" applyFill="1" applyBorder="1" applyAlignment="1" applyProtection="1">
      <alignment horizontal="center" wrapText="1"/>
      <protection hidden="1"/>
    </xf>
    <xf numFmtId="4" fontId="4" fillId="8" borderId="9" xfId="0" applyNumberFormat="1" applyFont="1" applyFill="1" applyBorder="1" applyAlignment="1" applyProtection="1">
      <alignment horizontal="center" vertical="center" wrapText="1"/>
      <protection hidden="1"/>
    </xf>
    <xf numFmtId="4" fontId="4" fillId="8" borderId="7" xfId="0" applyNumberFormat="1" applyFont="1" applyFill="1" applyBorder="1" applyAlignment="1" applyProtection="1">
      <alignment horizontal="center" vertical="center" wrapText="1"/>
      <protection hidden="1"/>
    </xf>
    <xf numFmtId="4" fontId="4" fillId="8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8" borderId="8" xfId="0" applyNumberFormat="1" applyFont="1" applyFill="1" applyBorder="1" applyAlignment="1" applyProtection="1">
      <alignment horizontal="center" vertical="center" wrapText="1"/>
      <protection hidden="1"/>
    </xf>
    <xf numFmtId="4" fontId="4" fillId="8" borderId="1" xfId="0" applyNumberFormat="1" applyFont="1" applyFill="1" applyBorder="1" applyAlignment="1" applyProtection="1">
      <alignment horizontal="center" vertical="center" wrapText="1"/>
      <protection hidden="1"/>
    </xf>
    <xf numFmtId="172" fontId="4" fillId="8" borderId="10" xfId="10" applyNumberFormat="1" applyFont="1" applyFill="1" applyBorder="1" applyAlignment="1" applyProtection="1">
      <alignment horizontal="center" vertical="top" wrapText="1"/>
      <protection hidden="1"/>
    </xf>
    <xf numFmtId="172" fontId="4" fillId="8" borderId="8" xfId="10" applyNumberFormat="1" applyFont="1" applyFill="1" applyBorder="1" applyAlignment="1" applyProtection="1">
      <alignment horizontal="center" vertical="top" wrapText="1"/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center" vertical="center" wrapText="1"/>
      <protection hidden="1"/>
    </xf>
    <xf numFmtId="0" fontId="5" fillId="8" borderId="1" xfId="0" applyFont="1" applyFill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10" fontId="2" fillId="0" borderId="1" xfId="10" applyNumberFormat="1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" fontId="2" fillId="4" borderId="1" xfId="0" applyNumberFormat="1" applyFont="1" applyFill="1" applyBorder="1" applyAlignment="1" applyProtection="1">
      <alignment horizontal="center" vertical="center"/>
      <protection hidden="1"/>
    </xf>
    <xf numFmtId="10" fontId="2" fillId="0" borderId="11" xfId="10" applyNumberFormat="1" applyFont="1" applyBorder="1" applyAlignment="1" applyProtection="1">
      <alignment horizontal="left" wrapText="1"/>
      <protection hidden="1"/>
    </xf>
    <xf numFmtId="10" fontId="2" fillId="0" borderId="3" xfId="10" applyNumberFormat="1" applyFont="1" applyBorder="1" applyAlignment="1" applyProtection="1">
      <alignment horizontal="left" wrapText="1"/>
      <protection hidden="1"/>
    </xf>
    <xf numFmtId="10" fontId="2" fillId="0" borderId="2" xfId="10" applyNumberFormat="1" applyFont="1" applyBorder="1" applyAlignment="1" applyProtection="1">
      <alignment horizontal="left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7" fillId="13" borderId="11" xfId="0" applyFont="1" applyFill="1" applyBorder="1" applyAlignment="1" applyProtection="1">
      <alignment horizontal="center" vertical="center"/>
      <protection hidden="1"/>
    </xf>
    <xf numFmtId="0" fontId="7" fillId="13" borderId="3" xfId="0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horizontal="center"/>
      <protection hidden="1"/>
    </xf>
    <xf numFmtId="0" fontId="12" fillId="0" borderId="0" xfId="0" quotePrefix="1" applyNumberFormat="1" applyFont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 vertical="center" wrapText="1"/>
      <protection hidden="1"/>
    </xf>
    <xf numFmtId="0" fontId="0" fillId="6" borderId="2" xfId="0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left" vertical="center" shrinkToFit="1"/>
      <protection hidden="1"/>
    </xf>
    <xf numFmtId="0" fontId="7" fillId="5" borderId="1" xfId="0" applyFont="1" applyFill="1" applyBorder="1" applyAlignment="1" applyProtection="1">
      <alignment horizontal="left" vertical="center" shrinkToFit="1"/>
      <protection hidden="1"/>
    </xf>
    <xf numFmtId="0" fontId="16" fillId="7" borderId="11" xfId="0" applyFont="1" applyFill="1" applyBorder="1" applyAlignment="1" applyProtection="1">
      <alignment horizontal="center" vertical="center"/>
      <protection hidden="1"/>
    </xf>
    <xf numFmtId="0" fontId="22" fillId="7" borderId="3" xfId="0" applyFont="1" applyFill="1" applyBorder="1"/>
    <xf numFmtId="0" fontId="22" fillId="7" borderId="2" xfId="0" applyFont="1" applyFill="1" applyBorder="1"/>
    <xf numFmtId="0" fontId="7" fillId="5" borderId="11" xfId="0" applyFont="1" applyFill="1" applyBorder="1" applyAlignment="1" applyProtection="1">
      <alignment horizontal="left" vertical="center" shrinkToFit="1"/>
      <protection hidden="1"/>
    </xf>
    <xf numFmtId="0" fontId="7" fillId="5" borderId="3" xfId="0" applyFont="1" applyFill="1" applyBorder="1" applyAlignment="1" applyProtection="1">
      <alignment horizontal="left" vertical="center" shrinkToFit="1"/>
      <protection hidden="1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3" xfId="0" applyFont="1" applyBorder="1"/>
    <xf numFmtId="0" fontId="1" fillId="0" borderId="2" xfId="0" applyFont="1" applyBorder="1"/>
    <xf numFmtId="14" fontId="35" fillId="0" borderId="0" xfId="0" applyNumberFormat="1" applyFont="1" applyAlignment="1">
      <alignment horizontal="center" vertical="center"/>
    </xf>
    <xf numFmtId="0" fontId="39" fillId="0" borderId="0" xfId="5" quotePrefix="1" applyFont="1" applyFill="1" applyAlignment="1">
      <alignment horizontal="center"/>
    </xf>
    <xf numFmtId="0" fontId="31" fillId="0" borderId="0" xfId="5" applyFont="1" applyFill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left"/>
    </xf>
    <xf numFmtId="0" fontId="1" fillId="0" borderId="1" xfId="0" applyFont="1" applyBorder="1"/>
    <xf numFmtId="10" fontId="0" fillId="11" borderId="1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 wrapText="1"/>
    </xf>
    <xf numFmtId="0" fontId="16" fillId="0" borderId="0" xfId="0" quotePrefix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37" fillId="0" borderId="0" xfId="0" quotePrefix="1" applyFont="1" applyFill="1" applyBorder="1" applyAlignment="1" applyProtection="1">
      <alignment horizontal="left" vertical="center"/>
      <protection hidden="1"/>
    </xf>
    <xf numFmtId="10" fontId="0" fillId="11" borderId="11" xfId="0" applyNumberFormat="1" applyFill="1" applyBorder="1" applyAlignment="1" applyProtection="1">
      <alignment horizontal="center"/>
      <protection locked="0"/>
    </xf>
    <xf numFmtId="10" fontId="0" fillId="11" borderId="3" xfId="0" applyNumberFormat="1" applyFill="1" applyBorder="1" applyAlignment="1" applyProtection="1">
      <alignment horizontal="center"/>
      <protection locked="0"/>
    </xf>
    <xf numFmtId="10" fontId="0" fillId="11" borderId="2" xfId="0" applyNumberFormat="1" applyFill="1" applyBorder="1" applyAlignment="1" applyProtection="1">
      <alignment horizontal="center"/>
      <protection locked="0"/>
    </xf>
    <xf numFmtId="10" fontId="0" fillId="11" borderId="11" xfId="10" applyNumberFormat="1" applyFont="1" applyFill="1" applyBorder="1" applyAlignment="1" applyProtection="1">
      <alignment horizontal="center"/>
      <protection locked="0"/>
    </xf>
    <xf numFmtId="10" fontId="0" fillId="11" borderId="3" xfId="10" applyNumberFormat="1" applyFont="1" applyFill="1" applyBorder="1" applyAlignment="1" applyProtection="1">
      <alignment horizontal="center"/>
      <protection locked="0"/>
    </xf>
    <xf numFmtId="10" fontId="0" fillId="11" borderId="2" xfId="10" applyNumberFormat="1" applyFont="1" applyFill="1" applyBorder="1" applyAlignment="1" applyProtection="1">
      <alignment horizontal="center"/>
      <protection locked="0"/>
    </xf>
    <xf numFmtId="0" fontId="9" fillId="4" borderId="1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0" fontId="38" fillId="4" borderId="11" xfId="0" applyNumberFormat="1" applyFont="1" applyFill="1" applyBorder="1" applyAlignment="1" applyProtection="1">
      <alignment horizontal="center" vertical="center"/>
      <protection hidden="1"/>
    </xf>
    <xf numFmtId="10" fontId="38" fillId="4" borderId="3" xfId="0" applyNumberFormat="1" applyFont="1" applyFill="1" applyBorder="1" applyAlignment="1" applyProtection="1">
      <alignment horizontal="center" vertical="center"/>
      <protection hidden="1"/>
    </xf>
    <xf numFmtId="10" fontId="38" fillId="4" borderId="2" xfId="0" applyNumberFormat="1" applyFont="1" applyFill="1" applyBorder="1" applyAlignment="1" applyProtection="1">
      <alignment horizontal="center" vertical="center"/>
      <protection hidden="1"/>
    </xf>
    <xf numFmtId="10" fontId="35" fillId="0" borderId="11" xfId="10" applyNumberFormat="1" applyFont="1" applyBorder="1" applyAlignment="1" applyProtection="1">
      <alignment horizontal="center" vertical="center"/>
      <protection hidden="1"/>
    </xf>
    <xf numFmtId="10" fontId="35" fillId="0" borderId="3" xfId="10" applyNumberFormat="1" applyFont="1" applyBorder="1" applyAlignment="1" applyProtection="1">
      <alignment horizontal="center" vertical="center"/>
      <protection hidden="1"/>
    </xf>
    <xf numFmtId="10" fontId="35" fillId="0" borderId="2" xfId="10" applyNumberFormat="1" applyFont="1" applyBorder="1" applyAlignment="1" applyProtection="1">
      <alignment horizontal="center" vertical="center"/>
      <protection hidden="1"/>
    </xf>
    <xf numFmtId="0" fontId="38" fillId="3" borderId="11" xfId="0" applyFont="1" applyFill="1" applyBorder="1" applyAlignment="1" applyProtection="1">
      <alignment horizontal="center" vertical="center" wrapText="1"/>
      <protection locked="0"/>
    </xf>
    <xf numFmtId="0" fontId="38" fillId="3" borderId="3" xfId="0" applyFont="1" applyFill="1" applyBorder="1" applyAlignment="1" applyProtection="1">
      <alignment horizontal="center" vertical="center" wrapText="1"/>
      <protection locked="0"/>
    </xf>
    <xf numFmtId="0" fontId="38" fillId="3" borderId="2" xfId="0" applyFont="1" applyFill="1" applyBorder="1" applyAlignment="1" applyProtection="1">
      <alignment horizontal="center" vertical="center" wrapText="1"/>
      <protection locked="0"/>
    </xf>
    <xf numFmtId="4" fontId="35" fillId="0" borderId="11" xfId="0" applyNumberFormat="1" applyFont="1" applyBorder="1" applyAlignment="1" applyProtection="1">
      <alignment horizontal="center" vertical="center"/>
      <protection hidden="1"/>
    </xf>
    <xf numFmtId="4" fontId="35" fillId="0" borderId="3" xfId="0" applyNumberFormat="1" applyFont="1" applyBorder="1" applyAlignment="1" applyProtection="1">
      <alignment horizontal="center" vertical="center"/>
      <protection hidden="1"/>
    </xf>
    <xf numFmtId="4" fontId="35" fillId="0" borderId="2" xfId="0" applyNumberFormat="1" applyFont="1" applyBorder="1" applyAlignment="1" applyProtection="1">
      <alignment horizontal="center" vertical="center"/>
      <protection hidden="1"/>
    </xf>
    <xf numFmtId="4" fontId="38" fillId="0" borderId="11" xfId="0" applyNumberFormat="1" applyFont="1" applyBorder="1" applyAlignment="1" applyProtection="1">
      <alignment horizontal="center" vertical="center"/>
      <protection hidden="1"/>
    </xf>
    <xf numFmtId="4" fontId="38" fillId="0" borderId="3" xfId="0" applyNumberFormat="1" applyFont="1" applyBorder="1" applyAlignment="1" applyProtection="1">
      <alignment horizontal="center" vertical="center"/>
      <protection hidden="1"/>
    </xf>
    <xf numFmtId="4" fontId="38" fillId="0" borderId="2" xfId="0" applyNumberFormat="1" applyFont="1" applyBorder="1" applyAlignment="1" applyProtection="1">
      <alignment horizontal="center" vertical="center"/>
      <protection hidden="1"/>
    </xf>
    <xf numFmtId="4" fontId="38" fillId="4" borderId="11" xfId="0" applyNumberFormat="1" applyFont="1" applyFill="1" applyBorder="1" applyAlignment="1" applyProtection="1">
      <alignment horizontal="center" vertical="center"/>
      <protection hidden="1"/>
    </xf>
    <xf numFmtId="4" fontId="38" fillId="4" borderId="3" xfId="0" applyNumberFormat="1" applyFont="1" applyFill="1" applyBorder="1" applyAlignment="1" applyProtection="1">
      <alignment horizontal="center" vertical="center"/>
      <protection hidden="1"/>
    </xf>
    <xf numFmtId="4" fontId="38" fillId="4" borderId="2" xfId="0" applyNumberFormat="1" applyFont="1" applyFill="1" applyBorder="1" applyAlignment="1" applyProtection="1">
      <alignment horizontal="center" vertical="center"/>
      <protection hidden="1"/>
    </xf>
    <xf numFmtId="0" fontId="39" fillId="0" borderId="0" xfId="5" quotePrefix="1" applyFont="1" applyFill="1" applyAlignment="1" applyProtection="1">
      <alignment horizontal="center"/>
      <protection hidden="1"/>
    </xf>
    <xf numFmtId="14" fontId="35" fillId="0" borderId="0" xfId="0" applyNumberFormat="1" applyFont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2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38" fillId="4" borderId="3" xfId="0" applyFont="1" applyFill="1" applyBorder="1" applyAlignment="1" applyProtection="1">
      <alignment horizontal="right" vertical="center"/>
      <protection hidden="1"/>
    </xf>
    <xf numFmtId="0" fontId="35" fillId="4" borderId="1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35" fillId="0" borderId="3" xfId="0" applyFont="1" applyBorder="1" applyAlignment="1" applyProtection="1">
      <alignment horizontal="right" vertical="center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38" fillId="2" borderId="4" xfId="0" applyFont="1" applyFill="1" applyBorder="1" applyAlignment="1" applyProtection="1">
      <alignment horizontal="center" vertical="center" wrapText="1"/>
      <protection hidden="1"/>
    </xf>
    <xf numFmtId="0" fontId="38" fillId="2" borderId="13" xfId="0" applyFont="1" applyFill="1" applyBorder="1" applyAlignment="1" applyProtection="1">
      <alignment horizontal="center" vertical="center" wrapText="1"/>
      <protection hidden="1"/>
    </xf>
    <xf numFmtId="4" fontId="38" fillId="2" borderId="4" xfId="0" applyNumberFormat="1" applyFont="1" applyFill="1" applyBorder="1" applyAlignment="1" applyProtection="1">
      <alignment horizontal="center" vertical="center" wrapText="1"/>
      <protection hidden="1"/>
    </xf>
    <xf numFmtId="4" fontId="38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0" fillId="4" borderId="0" xfId="0" applyFont="1" applyFill="1" applyBorder="1" applyAlignment="1" applyProtection="1">
      <alignment horizontal="center" vertical="center" wrapText="1"/>
      <protection hidden="1"/>
    </xf>
    <xf numFmtId="0" fontId="30" fillId="4" borderId="0" xfId="0" quotePrefix="1" applyFont="1" applyFill="1" applyBorder="1" applyAlignment="1" applyProtection="1">
      <alignment horizontal="center" vertical="center" wrapText="1"/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7" fillId="8" borderId="4" xfId="0" applyFont="1" applyFill="1" applyBorder="1" applyAlignment="1" applyProtection="1">
      <alignment horizont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hidden="1"/>
    </xf>
    <xf numFmtId="0" fontId="32" fillId="4" borderId="0" xfId="0" applyNumberFormat="1" applyFont="1" applyFill="1" applyBorder="1" applyAlignment="1" applyProtection="1">
      <alignment horizontal="center"/>
      <protection hidden="1"/>
    </xf>
    <xf numFmtId="0" fontId="6" fillId="0" borderId="0" xfId="5" applyFont="1" applyFill="1" applyBorder="1" applyAlignment="1">
      <alignment horizontal="left" vertical="center"/>
    </xf>
    <xf numFmtId="0" fontId="8" fillId="0" borderId="3" xfId="5" applyFont="1" applyFill="1" applyBorder="1" applyAlignment="1">
      <alignment horizontal="left" vertical="center" wrapText="1"/>
    </xf>
    <xf numFmtId="0" fontId="5" fillId="0" borderId="0" xfId="5" applyFont="1" applyFill="1" applyAlignment="1">
      <alignment horizontal="center" vertical="top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5" fillId="0" borderId="0" xfId="5" applyFont="1" applyFill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6" fillId="0" borderId="0" xfId="5" quotePrefix="1" applyFont="1" applyFill="1" applyAlignment="1">
      <alignment horizontal="center" vertical="center"/>
    </xf>
    <xf numFmtId="0" fontId="16" fillId="0" borderId="0" xfId="5" quotePrefix="1" applyFont="1" applyFill="1" applyAlignment="1">
      <alignment horizontal="center"/>
    </xf>
    <xf numFmtId="0" fontId="16" fillId="0" borderId="0" xfId="0" applyFont="1" applyAlignment="1"/>
    <xf numFmtId="0" fontId="1" fillId="0" borderId="0" xfId="5" applyFill="1" applyAlignment="1">
      <alignment horizontal="center" vertical="center"/>
    </xf>
    <xf numFmtId="0" fontId="9" fillId="0" borderId="0" xfId="5" applyFont="1" applyFill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8" fillId="4" borderId="0" xfId="0" quotePrefix="1" applyNumberFormat="1" applyFont="1" applyFill="1" applyBorder="1" applyAlignment="1" applyProtection="1">
      <alignment horizontal="center" vertical="center" wrapText="1"/>
      <protection hidden="1"/>
    </xf>
  </cellXfs>
  <cellStyles count="14">
    <cellStyle name="Excel Built-in Normal" xfId="1"/>
    <cellStyle name="Moeda" xfId="13" builtinId="4"/>
    <cellStyle name="Moeda 2" xfId="2"/>
    <cellStyle name="Moeda 2 2" xfId="3"/>
    <cellStyle name="Moeda 4" xfId="4"/>
    <cellStyle name="Normal" xfId="0" builtinId="0"/>
    <cellStyle name="Normal 2" xfId="5"/>
    <cellStyle name="Normal 3" xfId="6"/>
    <cellStyle name="Normal 5" xfId="7"/>
    <cellStyle name="Normal 6" xfId="8"/>
    <cellStyle name="Normal 7" xfId="9"/>
    <cellStyle name="Porcentagem" xfId="10" builtinId="5"/>
    <cellStyle name="Separador de milhares" xfId="11" builtinId="3"/>
    <cellStyle name="Separador de milhares 2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ELEMENTOS DE PROJETO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9644774437126504E-2"/>
                  <c:y val="-8.3020897603230268E-2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1518447991204535E-2"/>
                  <c:y val="2.5046708554637285E-2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9999713758612134E-3"/>
                  <c:y val="7.3081687718405891E-3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584121750844094E-3"/>
                  <c:y val="1.6898837598200867E-2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3209707230976701E-2"/>
                  <c:y val="-1.5303963120264608E-2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4178457260100092E-3"/>
                  <c:y val="1.3298597595066701E-2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7483737162241462E-3"/>
                  <c:y val="-1.7704573433799123E-2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5825534143072514E-3"/>
                  <c:y val="-1.0078549111963321E-2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7579481578236494E-2"/>
                  <c:y val="-8.7195091708177526E-3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'Planilha Orçamentária'!$H$146:$H$155</c:f>
              <c:strCache>
                <c:ptCount val="10"/>
                <c:pt idx="0">
                  <c:v>ARQUITETURA</c:v>
                </c:pt>
                <c:pt idx="1">
                  <c:v>ESTRUTURA</c:v>
                </c:pt>
                <c:pt idx="2">
                  <c:v>INSTALAÇÕES ELÉTRICAS</c:v>
                </c:pt>
                <c:pt idx="3">
                  <c:v>LÓGICA/TELEFONIA</c:v>
                </c:pt>
                <c:pt idx="4">
                  <c:v>HIDRO-SANITÁRIA</c:v>
                </c:pt>
                <c:pt idx="5">
                  <c:v>COMBATE E PREVENÇÃO A INCÊNDIOS</c:v>
                </c:pt>
                <c:pt idx="6">
                  <c:v>AR CONDICIONADO</c:v>
                </c:pt>
                <c:pt idx="7">
                  <c:v>DEMAIS PROJETOS</c:v>
                </c:pt>
                <c:pt idx="8">
                  <c:v>APROVAÇÃO DE PROJETOS E ENTREGA DE DOCUMENTAÇÃO</c:v>
                </c:pt>
                <c:pt idx="9">
                  <c:v>ORÇAMENTO E DOCUMENTAÇÃO</c:v>
                </c:pt>
              </c:strCache>
            </c:strRef>
          </c:cat>
          <c:val>
            <c:numRef>
              <c:f>'Planilha Orçamentária'!$K$146:$K$155</c:f>
              <c:numCache>
                <c:formatCode>0.00%</c:formatCode>
                <c:ptCount val="10"/>
                <c:pt idx="0">
                  <c:v>0.35149999999999992</c:v>
                </c:pt>
                <c:pt idx="1">
                  <c:v>0.19999999999999996</c:v>
                </c:pt>
                <c:pt idx="2">
                  <c:v>8.3499999999999963E-2</c:v>
                </c:pt>
                <c:pt idx="3">
                  <c:v>3.8499999999999986E-2</c:v>
                </c:pt>
                <c:pt idx="4">
                  <c:v>5.3499999999999992E-2</c:v>
                </c:pt>
                <c:pt idx="5">
                  <c:v>5.0999999999999976E-2</c:v>
                </c:pt>
                <c:pt idx="6">
                  <c:v>2.7499999999999993E-2</c:v>
                </c:pt>
                <c:pt idx="7">
                  <c:v>5.9500000000000192E-2</c:v>
                </c:pt>
                <c:pt idx="8">
                  <c:v>9.9999999999999978E-2</c:v>
                </c:pt>
                <c:pt idx="9">
                  <c:v>3.4999999999999983E-2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641699592569828"/>
          <c:y val="0.20810884987489217"/>
          <c:w val="0.34989774525661432"/>
          <c:h val="0.65399310135732269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441" footer="0.31496062000000441"/>
    <c:pageSetup paperSize="9" orientation="landscape" verticalDpi="598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5.jpeg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0</xdr:row>
      <xdr:rowOff>617220</xdr:rowOff>
    </xdr:to>
    <xdr:pic>
      <xdr:nvPicPr>
        <xdr:cNvPr id="1025" name="Picture 1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5720"/>
          <a:ext cx="762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87086</xdr:colOff>
      <xdr:row>0</xdr:row>
      <xdr:rowOff>1</xdr:rowOff>
    </xdr:from>
    <xdr:to>
      <xdr:col>1</xdr:col>
      <xdr:colOff>338234</xdr:colOff>
      <xdr:row>1</xdr:row>
      <xdr:rowOff>16565</xdr:rowOff>
    </xdr:to>
    <xdr:pic>
      <xdr:nvPicPr>
        <xdr:cNvPr id="4" name="Picture 2" descr="brazaobrasi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086" y="1"/>
          <a:ext cx="673561" cy="712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108858</xdr:colOff>
      <xdr:row>0</xdr:row>
      <xdr:rowOff>558</xdr:rowOff>
    </xdr:from>
    <xdr:to>
      <xdr:col>11</xdr:col>
      <xdr:colOff>1621973</xdr:colOff>
      <xdr:row>1</xdr:row>
      <xdr:rowOff>205866</xdr:rowOff>
    </xdr:to>
    <xdr:pic>
      <xdr:nvPicPr>
        <xdr:cNvPr id="2" name="Imagem 2" descr="LOGO C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94029" y="558"/>
          <a:ext cx="1513115" cy="901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138</xdr:row>
      <xdr:rowOff>132546</xdr:rowOff>
    </xdr:from>
    <xdr:to>
      <xdr:col>4</xdr:col>
      <xdr:colOff>616325</xdr:colOff>
      <xdr:row>168</xdr:row>
      <xdr:rowOff>22413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0</xdr:row>
      <xdr:rowOff>617220</xdr:rowOff>
    </xdr:to>
    <xdr:pic>
      <xdr:nvPicPr>
        <xdr:cNvPr id="14" name="Picture 1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4572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9525</xdr:colOff>
      <xdr:row>0</xdr:row>
      <xdr:rowOff>673072</xdr:rowOff>
    </xdr:to>
    <xdr:pic>
      <xdr:nvPicPr>
        <xdr:cNvPr id="15" name="Picture 2" descr="brazaobrasi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76200"/>
          <a:ext cx="609600" cy="59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219076</xdr:colOff>
      <xdr:row>0</xdr:row>
      <xdr:rowOff>19050</xdr:rowOff>
    </xdr:from>
    <xdr:to>
      <xdr:col>9</xdr:col>
      <xdr:colOff>600075</xdr:colOff>
      <xdr:row>0</xdr:row>
      <xdr:rowOff>681581</xdr:rowOff>
    </xdr:to>
    <xdr:pic>
      <xdr:nvPicPr>
        <xdr:cNvPr id="16" name="Imagem 2" descr="LOGO C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91201" y="19050"/>
          <a:ext cx="1057274" cy="662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2354580</xdr:colOff>
      <xdr:row>9</xdr:row>
      <xdr:rowOff>0</xdr:rowOff>
    </xdr:from>
    <xdr:to>
      <xdr:col>3</xdr:col>
      <xdr:colOff>10549</xdr:colOff>
      <xdr:row>12</xdr:row>
      <xdr:rowOff>121926</xdr:rowOff>
    </xdr:to>
    <xdr:pic>
      <xdr:nvPicPr>
        <xdr:cNvPr id="2049" name="Picture 2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" y="350520"/>
          <a:ext cx="762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0</xdr:row>
      <xdr:rowOff>617220</xdr:rowOff>
    </xdr:to>
    <xdr:pic>
      <xdr:nvPicPr>
        <xdr:cNvPr id="3" name="Picture 1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8620" y="21336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41208</xdr:colOff>
      <xdr:row>0</xdr:row>
      <xdr:rowOff>0</xdr:rowOff>
    </xdr:from>
    <xdr:to>
      <xdr:col>1</xdr:col>
      <xdr:colOff>251459</xdr:colOff>
      <xdr:row>0</xdr:row>
      <xdr:rowOff>596872</xdr:rowOff>
    </xdr:to>
    <xdr:pic>
      <xdr:nvPicPr>
        <xdr:cNvPr id="6" name="Picture 2" descr="brazaobrasi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208" y="0"/>
          <a:ext cx="598871" cy="59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237010</xdr:colOff>
      <xdr:row>0</xdr:row>
      <xdr:rowOff>33128</xdr:rowOff>
    </xdr:from>
    <xdr:to>
      <xdr:col>16</xdr:col>
      <xdr:colOff>140806</xdr:colOff>
      <xdr:row>0</xdr:row>
      <xdr:rowOff>695659</xdr:rowOff>
    </xdr:to>
    <xdr:pic>
      <xdr:nvPicPr>
        <xdr:cNvPr id="7" name="Imagem 2" descr="LOGO CT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314749" y="33128"/>
          <a:ext cx="1402948" cy="662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0</xdr:row>
      <xdr:rowOff>617220</xdr:rowOff>
    </xdr:to>
    <xdr:pic>
      <xdr:nvPicPr>
        <xdr:cNvPr id="2" name="Picture 1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" y="4572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146716</xdr:colOff>
      <xdr:row>0</xdr:row>
      <xdr:rowOff>52755</xdr:rowOff>
    </xdr:from>
    <xdr:to>
      <xdr:col>1</xdr:col>
      <xdr:colOff>123093</xdr:colOff>
      <xdr:row>0</xdr:row>
      <xdr:rowOff>649627</xdr:rowOff>
    </xdr:to>
    <xdr:pic>
      <xdr:nvPicPr>
        <xdr:cNvPr id="3" name="Picture 2" descr="brazaobrasi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716" y="52755"/>
          <a:ext cx="580115" cy="59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1547446</xdr:colOff>
      <xdr:row>0</xdr:row>
      <xdr:rowOff>11723</xdr:rowOff>
    </xdr:from>
    <xdr:to>
      <xdr:col>6</xdr:col>
      <xdr:colOff>2534129</xdr:colOff>
      <xdr:row>0</xdr:row>
      <xdr:rowOff>674254</xdr:rowOff>
    </xdr:to>
    <xdr:pic>
      <xdr:nvPicPr>
        <xdr:cNvPr id="4" name="Imagem 2" descr="LOGO C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60477" y="11723"/>
          <a:ext cx="986683" cy="662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1</xdr:row>
      <xdr:rowOff>90351</xdr:rowOff>
    </xdr:to>
    <xdr:pic>
      <xdr:nvPicPr>
        <xdr:cNvPr id="2" name="Picture 1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380" y="4572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4356</xdr:colOff>
      <xdr:row>0</xdr:row>
      <xdr:rowOff>26126</xdr:rowOff>
    </xdr:from>
    <xdr:to>
      <xdr:col>0</xdr:col>
      <xdr:colOff>483326</xdr:colOff>
      <xdr:row>0</xdr:row>
      <xdr:rowOff>475995</xdr:rowOff>
    </xdr:to>
    <xdr:pic>
      <xdr:nvPicPr>
        <xdr:cNvPr id="5" name="Picture 2" descr="brazaobrasi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56" y="26126"/>
          <a:ext cx="478970" cy="449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1244616</xdr:colOff>
      <xdr:row>0</xdr:row>
      <xdr:rowOff>529689</xdr:rowOff>
    </xdr:to>
    <xdr:pic>
      <xdr:nvPicPr>
        <xdr:cNvPr id="6" name="Imagem 2" descr="LOGO C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89863" y="0"/>
          <a:ext cx="787416" cy="529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P159"/>
  <sheetViews>
    <sheetView view="pageBreakPreview" topLeftCell="A7" zoomScaleNormal="70" zoomScaleSheetLayoutView="100" zoomScalePageLayoutView="70" workbookViewId="0">
      <selection activeCell="C11" sqref="C11"/>
    </sheetView>
  </sheetViews>
  <sheetFormatPr defaultColWidth="9.140625" defaultRowHeight="11.25"/>
  <cols>
    <col min="1" max="1" width="6.28515625" style="28" customWidth="1"/>
    <col min="2" max="2" width="70.7109375" style="28" customWidth="1"/>
    <col min="3" max="3" width="13.140625" style="28" customWidth="1"/>
    <col min="4" max="4" width="6.7109375" style="4" customWidth="1"/>
    <col min="5" max="5" width="14.28515625" style="4" customWidth="1"/>
    <col min="6" max="6" width="2.28515625" style="4" customWidth="1"/>
    <col min="7" max="7" width="15.28515625" style="4" customWidth="1"/>
    <col min="8" max="8" width="3.7109375" style="4" customWidth="1"/>
    <col min="9" max="9" width="21.7109375" style="4" customWidth="1"/>
    <col min="10" max="10" width="2.7109375" style="4" customWidth="1"/>
    <col min="11" max="11" width="18.7109375" style="21" customWidth="1"/>
    <col min="12" max="12" width="24.42578125" style="16" bestFit="1" customWidth="1"/>
    <col min="13" max="13" width="20.7109375" style="16" hidden="1" customWidth="1"/>
    <col min="14" max="14" width="21.42578125" style="16" hidden="1" customWidth="1"/>
    <col min="15" max="16" width="16.42578125" style="16" customWidth="1"/>
    <col min="17" max="17" width="9.140625" style="16" customWidth="1"/>
    <col min="18" max="16384" width="9.140625" style="16"/>
  </cols>
  <sheetData>
    <row r="1" spans="1:16" s="2" customFormat="1" ht="54.75" customHeight="1">
      <c r="A1" s="1"/>
      <c r="B1" s="254" t="s">
        <v>238</v>
      </c>
      <c r="C1" s="1"/>
      <c r="D1" s="1"/>
      <c r="E1" s="1"/>
      <c r="F1" s="1"/>
      <c r="G1" s="1"/>
      <c r="H1" s="1"/>
      <c r="I1" s="1"/>
      <c r="J1" s="1"/>
      <c r="K1" s="1"/>
    </row>
    <row r="2" spans="1:16" s="2" customFormat="1" ht="28.9" customHeight="1">
      <c r="A2" s="3"/>
      <c r="B2" s="3"/>
      <c r="C2" s="3"/>
      <c r="E2" s="4"/>
      <c r="F2" s="4"/>
      <c r="G2" s="4"/>
      <c r="H2" s="4"/>
      <c r="I2" s="5"/>
      <c r="J2" s="5"/>
      <c r="K2" s="6"/>
    </row>
    <row r="3" spans="1:16" s="2" customFormat="1" ht="40.15" customHeight="1">
      <c r="A3" s="253" t="s">
        <v>259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6" s="2" customFormat="1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1:16" s="2" customFormat="1" ht="21.6" customHeight="1">
      <c r="A5" s="144" t="s">
        <v>260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40"/>
      <c r="M5" s="342" t="s">
        <v>237</v>
      </c>
      <c r="N5" s="337" t="s">
        <v>218</v>
      </c>
    </row>
    <row r="6" spans="1:16" s="2" customFormat="1" ht="21.6" customHeight="1">
      <c r="A6" s="145" t="s">
        <v>261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41"/>
      <c r="M6" s="343"/>
      <c r="N6" s="337"/>
    </row>
    <row r="7" spans="1:16" s="2" customFormat="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62"/>
      <c r="M7" s="343"/>
      <c r="N7" s="337"/>
    </row>
    <row r="8" spans="1:16" s="2" customFormat="1" ht="21.6" customHeight="1">
      <c r="A8" s="142" t="s">
        <v>215</v>
      </c>
      <c r="B8" s="93"/>
      <c r="C8" s="83"/>
      <c r="D8" s="7"/>
      <c r="E8" s="85" t="s">
        <v>207</v>
      </c>
      <c r="F8" s="86"/>
      <c r="G8" s="149" t="s">
        <v>212</v>
      </c>
      <c r="H8" s="86"/>
      <c r="I8" s="86"/>
      <c r="J8" s="86"/>
      <c r="K8" s="86" t="s">
        <v>206</v>
      </c>
      <c r="L8" s="151" t="s">
        <v>213</v>
      </c>
      <c r="M8" s="343"/>
      <c r="N8" s="337"/>
    </row>
    <row r="9" spans="1:16" s="2" customFormat="1" ht="19.899999999999999" customHeight="1">
      <c r="A9" s="94" t="s">
        <v>201</v>
      </c>
      <c r="B9" s="146" t="s">
        <v>211</v>
      </c>
      <c r="C9" s="84"/>
      <c r="D9" s="7"/>
      <c r="E9" s="87" t="s">
        <v>205</v>
      </c>
      <c r="F9" s="80"/>
      <c r="G9" s="80"/>
      <c r="H9" s="80"/>
      <c r="I9" s="150" t="s">
        <v>257</v>
      </c>
      <c r="J9" s="80"/>
      <c r="K9" s="81"/>
      <c r="L9" s="88"/>
      <c r="M9" s="343"/>
      <c r="N9" s="337"/>
    </row>
    <row r="10" spans="1:16" s="2" customFormat="1" ht="12.75">
      <c r="A10" s="8"/>
      <c r="B10" s="8"/>
      <c r="C10" s="8"/>
      <c r="D10" s="58"/>
      <c r="E10" s="58"/>
      <c r="F10" s="58"/>
      <c r="G10" s="58"/>
      <c r="H10" s="58"/>
      <c r="I10" s="58"/>
      <c r="J10" s="58"/>
      <c r="K10" s="58"/>
      <c r="L10" s="82"/>
      <c r="M10" s="343"/>
      <c r="N10" s="337"/>
    </row>
    <row r="11" spans="1:16" s="2" customFormat="1" ht="12.75" customHeight="1">
      <c r="A11" s="137" t="s">
        <v>198</v>
      </c>
      <c r="B11" s="138"/>
      <c r="C11" s="147">
        <v>3959.72</v>
      </c>
      <c r="D11" s="131"/>
      <c r="E11" s="344" t="s">
        <v>89</v>
      </c>
      <c r="F11" s="344"/>
      <c r="G11" s="344"/>
      <c r="H11" s="344"/>
      <c r="I11" s="344"/>
      <c r="J11" s="344"/>
      <c r="K11" s="345"/>
      <c r="L11" s="143">
        <f xml:space="preserve"> 3*C11*C12</f>
        <v>10964939.8464</v>
      </c>
      <c r="M11" s="343"/>
      <c r="N11" s="337"/>
    </row>
    <row r="12" spans="1:16" s="2" customFormat="1" ht="12.75" customHeight="1">
      <c r="A12" s="139" t="s">
        <v>88</v>
      </c>
      <c r="B12" s="138"/>
      <c r="C12" s="148">
        <v>923.04</v>
      </c>
      <c r="D12" s="131"/>
      <c r="E12" s="349" t="s">
        <v>159</v>
      </c>
      <c r="F12" s="350"/>
      <c r="G12" s="350"/>
      <c r="H12" s="350"/>
      <c r="I12" s="350"/>
      <c r="J12" s="207"/>
      <c r="K12" s="285">
        <f>M12</f>
        <v>3.5000000000000017E-2</v>
      </c>
      <c r="L12" s="143">
        <f>K12*L11</f>
        <v>383772.89462400018</v>
      </c>
      <c r="M12" s="61">
        <f>((N12*(K21+K30+K57+K89+K123)))</f>
        <v>3.5000000000000017E-2</v>
      </c>
      <c r="N12" s="281">
        <v>3.5000000000000003E-2</v>
      </c>
      <c r="P12" s="258"/>
    </row>
    <row r="13" spans="1:16" s="2" customFormat="1" ht="12.75" customHeight="1">
      <c r="A13" s="134" t="s">
        <v>200</v>
      </c>
      <c r="B13" s="135"/>
      <c r="C13" s="136">
        <v>41913</v>
      </c>
      <c r="D13" s="11"/>
      <c r="E13" s="349" t="s">
        <v>256</v>
      </c>
      <c r="F13" s="350"/>
      <c r="G13" s="350"/>
      <c r="H13" s="350"/>
      <c r="I13" s="350"/>
      <c r="J13" s="12"/>
      <c r="K13" s="13"/>
      <c r="L13" s="316">
        <f>L12+K134</f>
        <v>400000.00462400017</v>
      </c>
    </row>
    <row r="14" spans="1:16" s="14" customFormat="1" ht="12.75">
      <c r="A14" s="134" t="s">
        <v>249</v>
      </c>
      <c r="B14" s="134"/>
      <c r="C14" s="287">
        <f>N12</f>
        <v>3.5000000000000003E-2</v>
      </c>
      <c r="D14" s="132"/>
      <c r="E14" s="208" t="s">
        <v>199</v>
      </c>
      <c r="F14" s="209"/>
      <c r="G14" s="210"/>
      <c r="H14" s="211"/>
      <c r="I14" s="351">
        <v>218</v>
      </c>
      <c r="J14" s="352"/>
      <c r="K14" s="133" t="s">
        <v>113</v>
      </c>
      <c r="L14" s="283">
        <f>'Composição do BDI'!G23</f>
        <v>0.30398972602739716</v>
      </c>
    </row>
    <row r="15" spans="1:16" s="2" customFormat="1" ht="12.75">
      <c r="D15" s="280"/>
      <c r="E15" s="280"/>
      <c r="F15" s="280"/>
      <c r="G15" s="280"/>
      <c r="H15" s="59"/>
      <c r="I15" s="15"/>
      <c r="J15" s="15"/>
      <c r="K15" s="15"/>
      <c r="L15" s="203"/>
    </row>
    <row r="16" spans="1:16" s="2" customFormat="1" ht="15.75">
      <c r="A16" s="340"/>
      <c r="B16" s="341"/>
      <c r="C16" s="341"/>
      <c r="D16" s="341"/>
      <c r="E16" s="341"/>
      <c r="F16" s="341"/>
      <c r="G16" s="341"/>
      <c r="H16" s="341"/>
      <c r="I16" s="341"/>
      <c r="J16" s="341"/>
      <c r="K16" s="341"/>
    </row>
    <row r="17" spans="1:15" s="60" customFormat="1" ht="26.25" customHeight="1">
      <c r="A17" s="346" t="s">
        <v>38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8"/>
      <c r="M17" s="277"/>
    </row>
    <row r="18" spans="1:15" s="130" customFormat="1" ht="37.5" customHeight="1">
      <c r="A18" s="328" t="s">
        <v>26</v>
      </c>
      <c r="B18" s="328" t="s">
        <v>5</v>
      </c>
      <c r="C18" s="328" t="s">
        <v>37</v>
      </c>
      <c r="D18" s="323" t="s">
        <v>7</v>
      </c>
      <c r="E18" s="319" t="s">
        <v>202</v>
      </c>
      <c r="F18" s="320"/>
      <c r="G18" s="317" t="s">
        <v>115</v>
      </c>
      <c r="H18" s="318"/>
      <c r="I18" s="319" t="s">
        <v>233</v>
      </c>
      <c r="J18" s="320"/>
      <c r="K18" s="275" t="s">
        <v>247</v>
      </c>
      <c r="L18" s="323" t="s">
        <v>232</v>
      </c>
      <c r="M18" s="278"/>
    </row>
    <row r="19" spans="1:15" s="130" customFormat="1" ht="30" customHeight="1">
      <c r="A19" s="328"/>
      <c r="B19" s="329"/>
      <c r="C19" s="328"/>
      <c r="D19" s="323"/>
      <c r="E19" s="321"/>
      <c r="F19" s="322"/>
      <c r="G19" s="324">
        <f>L14</f>
        <v>0.30398972602739716</v>
      </c>
      <c r="H19" s="325"/>
      <c r="I19" s="321"/>
      <c r="J19" s="322"/>
      <c r="K19" s="276">
        <f>N12*L11</f>
        <v>383772.89462400007</v>
      </c>
      <c r="L19" s="323"/>
      <c r="M19" s="279"/>
    </row>
    <row r="20" spans="1:15" ht="18" customHeight="1">
      <c r="A20" s="17"/>
      <c r="B20" s="18"/>
      <c r="C20" s="17"/>
      <c r="D20" s="19"/>
      <c r="E20" s="19"/>
      <c r="F20" s="19"/>
      <c r="G20" s="78"/>
      <c r="H20" s="78"/>
      <c r="I20" s="19"/>
      <c r="J20" s="19"/>
      <c r="K20" s="19"/>
      <c r="L20" s="63"/>
      <c r="M20" s="20"/>
      <c r="N20" s="21"/>
      <c r="O20" s="22"/>
    </row>
    <row r="21" spans="1:15" ht="18" customHeight="1">
      <c r="A21" s="111" t="s">
        <v>21</v>
      </c>
      <c r="B21" s="111" t="s">
        <v>47</v>
      </c>
      <c r="C21" s="128"/>
      <c r="D21" s="112"/>
      <c r="E21" s="110">
        <f>SUM(E22:E28)</f>
        <v>14715.334291519443</v>
      </c>
      <c r="F21" s="125"/>
      <c r="G21" s="79">
        <f>I21-E21</f>
        <v>4473.3104396805556</v>
      </c>
      <c r="H21" s="70"/>
      <c r="I21" s="106">
        <f>SUM(I22:I28)</f>
        <v>19188.644731199998</v>
      </c>
      <c r="J21" s="107"/>
      <c r="K21" s="71">
        <f>SUM(K22:K28)</f>
        <v>0.05</v>
      </c>
      <c r="L21" s="129">
        <f>SUM(L22:L28)</f>
        <v>0.05</v>
      </c>
      <c r="M21" s="24"/>
      <c r="N21" s="24"/>
    </row>
    <row r="22" spans="1:15" ht="18" customHeight="1">
      <c r="A22" s="120" t="s">
        <v>9</v>
      </c>
      <c r="B22" s="123" t="s">
        <v>243</v>
      </c>
      <c r="C22" s="114" t="s">
        <v>36</v>
      </c>
      <c r="D22" s="152">
        <v>1</v>
      </c>
      <c r="E22" s="126">
        <f>(I22/(1+$G$19))</f>
        <v>147.15334291519446</v>
      </c>
      <c r="F22" s="127"/>
      <c r="G22" s="101">
        <f>I22-E22</f>
        <v>44.733104396805572</v>
      </c>
      <c r="H22" s="101"/>
      <c r="I22" s="126">
        <f t="shared" ref="I22:I28" si="0">L22*$K$19</f>
        <v>191.88644731200003</v>
      </c>
      <c r="J22" s="127"/>
      <c r="K22" s="270">
        <f>IF(D22=1,0.05%,IF(D22=0,0))</f>
        <v>5.0000000000000001E-4</v>
      </c>
      <c r="L22" s="259">
        <f>K22</f>
        <v>5.0000000000000001E-4</v>
      </c>
      <c r="M22" s="25"/>
    </row>
    <row r="23" spans="1:15" ht="18" customHeight="1">
      <c r="A23" s="120" t="s">
        <v>59</v>
      </c>
      <c r="B23" s="123" t="s">
        <v>90</v>
      </c>
      <c r="C23" s="114" t="s">
        <v>36</v>
      </c>
      <c r="D23" s="152">
        <v>1</v>
      </c>
      <c r="E23" s="126">
        <f t="shared" ref="E23:E28" si="1">(I23/(1+$G$19))</f>
        <v>147.15334291519446</v>
      </c>
      <c r="F23" s="108"/>
      <c r="G23" s="101">
        <f t="shared" ref="G23:G28" si="2">I23-E23</f>
        <v>44.733104396805572</v>
      </c>
      <c r="H23" s="102"/>
      <c r="I23" s="126">
        <f t="shared" si="0"/>
        <v>191.88644731200003</v>
      </c>
      <c r="J23" s="108"/>
      <c r="K23" s="270">
        <f t="shared" ref="K23:K24" si="3">IF(D23=1,0.05%,IF(D23=0,0))</f>
        <v>5.0000000000000001E-4</v>
      </c>
      <c r="L23" s="259">
        <f t="shared" ref="L23:L28" si="4">K23</f>
        <v>5.0000000000000001E-4</v>
      </c>
      <c r="M23" s="23"/>
    </row>
    <row r="24" spans="1:15" ht="18" customHeight="1">
      <c r="A24" s="120" t="s">
        <v>60</v>
      </c>
      <c r="B24" s="123" t="s">
        <v>91</v>
      </c>
      <c r="C24" s="114" t="s">
        <v>36</v>
      </c>
      <c r="D24" s="152">
        <v>1</v>
      </c>
      <c r="E24" s="126">
        <f t="shared" si="1"/>
        <v>147.15334291519446</v>
      </c>
      <c r="F24" s="109"/>
      <c r="G24" s="101">
        <f t="shared" si="2"/>
        <v>44.733104396805572</v>
      </c>
      <c r="H24" s="103"/>
      <c r="I24" s="126">
        <f t="shared" si="0"/>
        <v>191.88644731200003</v>
      </c>
      <c r="J24" s="109"/>
      <c r="K24" s="270">
        <f t="shared" si="3"/>
        <v>5.0000000000000001E-4</v>
      </c>
      <c r="L24" s="259">
        <f t="shared" si="4"/>
        <v>5.0000000000000001E-4</v>
      </c>
    </row>
    <row r="25" spans="1:15" ht="18" customHeight="1">
      <c r="A25" s="120" t="s">
        <v>61</v>
      </c>
      <c r="B25" s="123" t="s">
        <v>50</v>
      </c>
      <c r="C25" s="114" t="s">
        <v>36</v>
      </c>
      <c r="D25" s="152">
        <v>1</v>
      </c>
      <c r="E25" s="126">
        <f t="shared" si="1"/>
        <v>13243.8008623675</v>
      </c>
      <c r="F25" s="108"/>
      <c r="G25" s="101">
        <f t="shared" si="2"/>
        <v>4025.9793957125021</v>
      </c>
      <c r="H25" s="102"/>
      <c r="I25" s="126">
        <f t="shared" si="0"/>
        <v>17269.780258080002</v>
      </c>
      <c r="J25" s="108"/>
      <c r="K25" s="270">
        <f>IF(D25=1,4.5%,IF(D25=0,0))</f>
        <v>4.4999999999999998E-2</v>
      </c>
      <c r="L25" s="259">
        <f t="shared" si="4"/>
        <v>4.4999999999999998E-2</v>
      </c>
    </row>
    <row r="26" spans="1:15" ht="18" customHeight="1">
      <c r="A26" s="120" t="s">
        <v>62</v>
      </c>
      <c r="B26" s="123" t="s">
        <v>48</v>
      </c>
      <c r="C26" s="114" t="s">
        <v>36</v>
      </c>
      <c r="D26" s="152">
        <v>1</v>
      </c>
      <c r="E26" s="126">
        <f t="shared" si="1"/>
        <v>441.46002874558337</v>
      </c>
      <c r="F26" s="109"/>
      <c r="G26" s="101">
        <f t="shared" si="2"/>
        <v>134.19931319041677</v>
      </c>
      <c r="H26" s="103"/>
      <c r="I26" s="126">
        <f t="shared" si="0"/>
        <v>575.65934193600015</v>
      </c>
      <c r="J26" s="109"/>
      <c r="K26" s="270">
        <f>IF(D26=1,0.15%,IF(D26=0,0))</f>
        <v>1.5E-3</v>
      </c>
      <c r="L26" s="259">
        <f t="shared" si="4"/>
        <v>1.5E-3</v>
      </c>
    </row>
    <row r="27" spans="1:15" ht="18" customHeight="1">
      <c r="A27" s="120" t="s">
        <v>63</v>
      </c>
      <c r="B27" s="123" t="s">
        <v>49</v>
      </c>
      <c r="C27" s="114" t="s">
        <v>36</v>
      </c>
      <c r="D27" s="152">
        <v>1</v>
      </c>
      <c r="E27" s="126">
        <f t="shared" si="1"/>
        <v>294.30668583038891</v>
      </c>
      <c r="F27" s="108"/>
      <c r="G27" s="101">
        <f t="shared" si="2"/>
        <v>89.466208793611145</v>
      </c>
      <c r="H27" s="102"/>
      <c r="I27" s="126">
        <f t="shared" si="0"/>
        <v>383.77289462400006</v>
      </c>
      <c r="J27" s="108"/>
      <c r="K27" s="270">
        <f>IF(D27=1,0.1%,IF(D27=0,0))</f>
        <v>1E-3</v>
      </c>
      <c r="L27" s="259">
        <f t="shared" si="4"/>
        <v>1E-3</v>
      </c>
    </row>
    <row r="28" spans="1:15" ht="18" customHeight="1">
      <c r="A28" s="120" t="s">
        <v>64</v>
      </c>
      <c r="B28" s="123" t="s">
        <v>154</v>
      </c>
      <c r="C28" s="114" t="s">
        <v>36</v>
      </c>
      <c r="D28" s="152">
        <v>1</v>
      </c>
      <c r="E28" s="126">
        <f t="shared" si="1"/>
        <v>294.30668583038891</v>
      </c>
      <c r="F28" s="109"/>
      <c r="G28" s="101">
        <f t="shared" si="2"/>
        <v>89.466208793611145</v>
      </c>
      <c r="H28" s="103"/>
      <c r="I28" s="126">
        <f t="shared" si="0"/>
        <v>383.77289462400006</v>
      </c>
      <c r="J28" s="109"/>
      <c r="K28" s="270">
        <f>IF(D28=1,0.1%,IF(D28=0,0))</f>
        <v>1E-3</v>
      </c>
      <c r="L28" s="259">
        <f t="shared" si="4"/>
        <v>1E-3</v>
      </c>
    </row>
    <row r="29" spans="1:15" ht="18" customHeight="1">
      <c r="A29" s="34"/>
      <c r="B29" s="34"/>
      <c r="C29" s="34"/>
      <c r="D29" s="63"/>
      <c r="E29" s="63"/>
      <c r="F29" s="63"/>
      <c r="G29" s="63"/>
      <c r="H29" s="63"/>
      <c r="I29" s="63"/>
      <c r="J29" s="63"/>
      <c r="K29" s="63"/>
    </row>
    <row r="30" spans="1:15" ht="18" customHeight="1">
      <c r="A30" s="111" t="s">
        <v>22</v>
      </c>
      <c r="B30" s="111" t="s">
        <v>51</v>
      </c>
      <c r="C30" s="111"/>
      <c r="D30" s="69"/>
      <c r="E30" s="273">
        <f>SUM(E31:E55)</f>
        <v>44146.002874558326</v>
      </c>
      <c r="F30" s="274"/>
      <c r="G30" s="273">
        <f>I30-E30</f>
        <v>13419.931319041687</v>
      </c>
      <c r="H30" s="274"/>
      <c r="I30" s="271">
        <f>SUM(I31:I55)</f>
        <v>57565.934193600013</v>
      </c>
      <c r="J30" s="272"/>
      <c r="K30" s="71">
        <f>SUM(K31:K55)</f>
        <v>0.15000000000000005</v>
      </c>
      <c r="L30" s="116">
        <f>SUM(L31:L55)</f>
        <v>0.15000000000000005</v>
      </c>
    </row>
    <row r="31" spans="1:15" ht="18" customHeight="1">
      <c r="A31" s="120" t="s">
        <v>10</v>
      </c>
      <c r="B31" s="123" t="s">
        <v>217</v>
      </c>
      <c r="C31" s="114" t="s">
        <v>36</v>
      </c>
      <c r="D31" s="153">
        <v>1</v>
      </c>
      <c r="E31" s="126">
        <f>(I31/(1+$G$19))</f>
        <v>23544.534866431113</v>
      </c>
      <c r="F31" s="108"/>
      <c r="G31" s="101">
        <f t="shared" ref="G31:G55" si="5">I31-E31</f>
        <v>7157.2967034888934</v>
      </c>
      <c r="H31" s="104"/>
      <c r="I31" s="126">
        <f t="shared" ref="I31:I55" si="6">L31*$K$19</f>
        <v>30701.831569920007</v>
      </c>
      <c r="J31" s="108"/>
      <c r="K31" s="270">
        <f>IF(D31=1,8%,IF(D31=0,0))</f>
        <v>0.08</v>
      </c>
      <c r="L31" s="259">
        <f>K31</f>
        <v>0.08</v>
      </c>
      <c r="M31" s="26"/>
      <c r="N31" s="24"/>
    </row>
    <row r="32" spans="1:15" ht="18" customHeight="1">
      <c r="A32" s="120" t="s">
        <v>11</v>
      </c>
      <c r="B32" s="123" t="s">
        <v>133</v>
      </c>
      <c r="C32" s="114" t="s">
        <v>36</v>
      </c>
      <c r="D32" s="154">
        <v>1</v>
      </c>
      <c r="E32" s="126">
        <f t="shared" ref="E32:E55" si="7">(I32/(1+$G$19))</f>
        <v>294.30668583038891</v>
      </c>
      <c r="F32" s="109"/>
      <c r="G32" s="101">
        <f t="shared" si="5"/>
        <v>89.466208793611145</v>
      </c>
      <c r="H32" s="105"/>
      <c r="I32" s="126">
        <f t="shared" si="6"/>
        <v>383.77289462400006</v>
      </c>
      <c r="J32" s="109"/>
      <c r="K32" s="270">
        <f t="shared" ref="K32:K34" si="8">IF(D32=1,0.1%,IF(D32=0,0))</f>
        <v>1E-3</v>
      </c>
      <c r="L32" s="259">
        <f t="shared" ref="L32:L55" si="9">K32</f>
        <v>1E-3</v>
      </c>
      <c r="M32" s="22"/>
    </row>
    <row r="33" spans="1:14" ht="18" customHeight="1">
      <c r="A33" s="121" t="s">
        <v>12</v>
      </c>
      <c r="B33" s="121" t="s">
        <v>134</v>
      </c>
      <c r="C33" s="114" t="s">
        <v>36</v>
      </c>
      <c r="D33" s="153">
        <v>1</v>
      </c>
      <c r="E33" s="126">
        <f t="shared" si="7"/>
        <v>294.30668583038891</v>
      </c>
      <c r="F33" s="108"/>
      <c r="G33" s="101">
        <f t="shared" si="5"/>
        <v>89.466208793611145</v>
      </c>
      <c r="H33" s="104"/>
      <c r="I33" s="126">
        <f t="shared" si="6"/>
        <v>383.77289462400006</v>
      </c>
      <c r="J33" s="108"/>
      <c r="K33" s="270">
        <f t="shared" si="8"/>
        <v>1E-3</v>
      </c>
      <c r="L33" s="259">
        <f t="shared" si="9"/>
        <v>1E-3</v>
      </c>
    </row>
    <row r="34" spans="1:14" ht="18" customHeight="1">
      <c r="A34" s="120" t="s">
        <v>13</v>
      </c>
      <c r="B34" s="124" t="s">
        <v>65</v>
      </c>
      <c r="C34" s="114" t="s">
        <v>36</v>
      </c>
      <c r="D34" s="154">
        <v>1</v>
      </c>
      <c r="E34" s="126">
        <f t="shared" si="7"/>
        <v>294.30668583038891</v>
      </c>
      <c r="F34" s="109"/>
      <c r="G34" s="101">
        <f t="shared" si="5"/>
        <v>89.466208793611145</v>
      </c>
      <c r="H34" s="105"/>
      <c r="I34" s="126">
        <f t="shared" si="6"/>
        <v>383.77289462400006</v>
      </c>
      <c r="J34" s="109"/>
      <c r="K34" s="270">
        <f t="shared" si="8"/>
        <v>1E-3</v>
      </c>
      <c r="L34" s="259">
        <f t="shared" si="9"/>
        <v>1E-3</v>
      </c>
    </row>
    <row r="35" spans="1:14" ht="18" customHeight="1">
      <c r="A35" s="120" t="s">
        <v>34</v>
      </c>
      <c r="B35" s="124" t="s">
        <v>66</v>
      </c>
      <c r="C35" s="114" t="s">
        <v>36</v>
      </c>
      <c r="D35" s="153">
        <v>1</v>
      </c>
      <c r="E35" s="126">
        <f t="shared" si="7"/>
        <v>1471.5334291519446</v>
      </c>
      <c r="F35" s="108"/>
      <c r="G35" s="101">
        <f t="shared" si="5"/>
        <v>447.33104396805584</v>
      </c>
      <c r="H35" s="104"/>
      <c r="I35" s="126">
        <f t="shared" si="6"/>
        <v>1918.8644731200004</v>
      </c>
      <c r="J35" s="108"/>
      <c r="K35" s="270">
        <f>IF(D35=1,0.5%,IF(D35=0,0))</f>
        <v>5.0000000000000001E-3</v>
      </c>
      <c r="L35" s="259">
        <f t="shared" si="9"/>
        <v>5.0000000000000001E-3</v>
      </c>
      <c r="M35" s="24"/>
    </row>
    <row r="36" spans="1:14" ht="18" customHeight="1">
      <c r="A36" s="120" t="s">
        <v>92</v>
      </c>
      <c r="B36" s="124" t="s">
        <v>67</v>
      </c>
      <c r="C36" s="114" t="s">
        <v>36</v>
      </c>
      <c r="D36" s="154">
        <v>1</v>
      </c>
      <c r="E36" s="126">
        <f t="shared" si="7"/>
        <v>7357.6671457597231</v>
      </c>
      <c r="F36" s="109"/>
      <c r="G36" s="101">
        <f t="shared" si="5"/>
        <v>2236.6552198402796</v>
      </c>
      <c r="H36" s="105"/>
      <c r="I36" s="126">
        <f t="shared" si="6"/>
        <v>9594.3223656000027</v>
      </c>
      <c r="J36" s="109"/>
      <c r="K36" s="270">
        <f>IF(D36=1,2.5%,IF(D36=0,0))</f>
        <v>2.5000000000000001E-2</v>
      </c>
      <c r="L36" s="259">
        <f t="shared" si="9"/>
        <v>2.5000000000000001E-2</v>
      </c>
    </row>
    <row r="37" spans="1:14" ht="18" customHeight="1">
      <c r="A37" s="120" t="s">
        <v>93</v>
      </c>
      <c r="B37" s="124" t="s">
        <v>68</v>
      </c>
      <c r="C37" s="114" t="s">
        <v>36</v>
      </c>
      <c r="D37" s="153">
        <v>1</v>
      </c>
      <c r="E37" s="126">
        <f t="shared" si="7"/>
        <v>441.46002874558337</v>
      </c>
      <c r="F37" s="108"/>
      <c r="G37" s="101">
        <f t="shared" si="5"/>
        <v>134.19931319041677</v>
      </c>
      <c r="H37" s="104"/>
      <c r="I37" s="126">
        <f t="shared" si="6"/>
        <v>575.65934193600015</v>
      </c>
      <c r="J37" s="108"/>
      <c r="K37" s="270">
        <f>IF(D37=1,0.15%,IF(D37=0,0))</f>
        <v>1.5E-3</v>
      </c>
      <c r="L37" s="259">
        <f t="shared" si="9"/>
        <v>1.5E-3</v>
      </c>
    </row>
    <row r="38" spans="1:14" ht="18" customHeight="1">
      <c r="A38" s="120" t="s">
        <v>94</v>
      </c>
      <c r="B38" s="124" t="s">
        <v>239</v>
      </c>
      <c r="C38" s="114" t="s">
        <v>36</v>
      </c>
      <c r="D38" s="154">
        <v>1</v>
      </c>
      <c r="E38" s="126">
        <f t="shared" si="7"/>
        <v>882.92005749116674</v>
      </c>
      <c r="F38" s="109"/>
      <c r="G38" s="101">
        <f t="shared" si="5"/>
        <v>268.39862638083355</v>
      </c>
      <c r="H38" s="105"/>
      <c r="I38" s="126">
        <f t="shared" si="6"/>
        <v>1151.3186838720003</v>
      </c>
      <c r="J38" s="109"/>
      <c r="K38" s="270">
        <f>IF(D38=1,0.3%,IF(D38=0,0))</f>
        <v>3.0000000000000001E-3</v>
      </c>
      <c r="L38" s="259">
        <f t="shared" si="9"/>
        <v>3.0000000000000001E-3</v>
      </c>
    </row>
    <row r="39" spans="1:14" ht="18" customHeight="1">
      <c r="A39" s="120" t="s">
        <v>95</v>
      </c>
      <c r="B39" s="123" t="s">
        <v>69</v>
      </c>
      <c r="C39" s="114" t="s">
        <v>36</v>
      </c>
      <c r="D39" s="153">
        <v>1</v>
      </c>
      <c r="E39" s="126">
        <f t="shared" si="7"/>
        <v>441.46002874558337</v>
      </c>
      <c r="F39" s="108"/>
      <c r="G39" s="101">
        <f t="shared" si="5"/>
        <v>134.19931319041677</v>
      </c>
      <c r="H39" s="104"/>
      <c r="I39" s="126">
        <f t="shared" si="6"/>
        <v>575.65934193600015</v>
      </c>
      <c r="J39" s="108"/>
      <c r="K39" s="270">
        <f>IF(D39=1,0.15%,IF(D39=0,0))</f>
        <v>1.5E-3</v>
      </c>
      <c r="L39" s="259">
        <f t="shared" si="9"/>
        <v>1.5E-3</v>
      </c>
      <c r="M39" s="24"/>
    </row>
    <row r="40" spans="1:14" ht="18" customHeight="1">
      <c r="A40" s="120" t="s">
        <v>96</v>
      </c>
      <c r="B40" s="123" t="s">
        <v>135</v>
      </c>
      <c r="C40" s="114" t="s">
        <v>36</v>
      </c>
      <c r="D40" s="154">
        <v>1</v>
      </c>
      <c r="E40" s="126">
        <f t="shared" si="7"/>
        <v>441.46002874558337</v>
      </c>
      <c r="F40" s="109"/>
      <c r="G40" s="101">
        <f t="shared" si="5"/>
        <v>134.19931319041677</v>
      </c>
      <c r="H40" s="105"/>
      <c r="I40" s="126">
        <f t="shared" si="6"/>
        <v>575.65934193600015</v>
      </c>
      <c r="J40" s="109"/>
      <c r="K40" s="270">
        <f>IF(D40=1,0.15%,IF(D40=0,0))</f>
        <v>1.5E-3</v>
      </c>
      <c r="L40" s="259">
        <f t="shared" si="9"/>
        <v>1.5E-3</v>
      </c>
    </row>
    <row r="41" spans="1:14" ht="18" customHeight="1">
      <c r="A41" s="120" t="s">
        <v>97</v>
      </c>
      <c r="B41" s="123" t="s">
        <v>70</v>
      </c>
      <c r="C41" s="114" t="s">
        <v>36</v>
      </c>
      <c r="D41" s="153">
        <v>1</v>
      </c>
      <c r="E41" s="126">
        <f t="shared" si="7"/>
        <v>735.76671457597229</v>
      </c>
      <c r="F41" s="108"/>
      <c r="G41" s="101">
        <f t="shared" si="5"/>
        <v>223.66552198402792</v>
      </c>
      <c r="H41" s="104"/>
      <c r="I41" s="126">
        <f t="shared" si="6"/>
        <v>959.43223656000021</v>
      </c>
      <c r="J41" s="108"/>
      <c r="K41" s="270">
        <f t="shared" ref="K41:K46" si="10">IF(D41=1,0.25%,IF(D41=0,0))</f>
        <v>2.5000000000000001E-3</v>
      </c>
      <c r="L41" s="259">
        <f t="shared" si="9"/>
        <v>2.5000000000000001E-3</v>
      </c>
    </row>
    <row r="42" spans="1:14" ht="18" customHeight="1">
      <c r="A42" s="120" t="s">
        <v>98</v>
      </c>
      <c r="B42" s="123" t="s">
        <v>71</v>
      </c>
      <c r="C42" s="114" t="s">
        <v>36</v>
      </c>
      <c r="D42" s="154">
        <v>1</v>
      </c>
      <c r="E42" s="126">
        <f t="shared" si="7"/>
        <v>735.76671457597229</v>
      </c>
      <c r="F42" s="109"/>
      <c r="G42" s="101">
        <f t="shared" si="5"/>
        <v>223.66552198402792</v>
      </c>
      <c r="H42" s="105"/>
      <c r="I42" s="126">
        <f t="shared" si="6"/>
        <v>959.43223656000021</v>
      </c>
      <c r="J42" s="109"/>
      <c r="K42" s="270">
        <f t="shared" si="10"/>
        <v>2.5000000000000001E-3</v>
      </c>
      <c r="L42" s="259">
        <f t="shared" si="9"/>
        <v>2.5000000000000001E-3</v>
      </c>
    </row>
    <row r="43" spans="1:14" ht="18" customHeight="1">
      <c r="A43" s="120" t="s">
        <v>99</v>
      </c>
      <c r="B43" s="123" t="s">
        <v>72</v>
      </c>
      <c r="C43" s="114" t="s">
        <v>36</v>
      </c>
      <c r="D43" s="153">
        <v>1</v>
      </c>
      <c r="E43" s="126">
        <f t="shared" si="7"/>
        <v>735.76671457597229</v>
      </c>
      <c r="F43" s="108"/>
      <c r="G43" s="101">
        <f t="shared" si="5"/>
        <v>223.66552198402792</v>
      </c>
      <c r="H43" s="104"/>
      <c r="I43" s="126">
        <f t="shared" si="6"/>
        <v>959.43223656000021</v>
      </c>
      <c r="J43" s="108"/>
      <c r="K43" s="270">
        <f t="shared" si="10"/>
        <v>2.5000000000000001E-3</v>
      </c>
      <c r="L43" s="259">
        <f t="shared" si="9"/>
        <v>2.5000000000000001E-3</v>
      </c>
    </row>
    <row r="44" spans="1:14" ht="18" customHeight="1">
      <c r="A44" s="120" t="s">
        <v>100</v>
      </c>
      <c r="B44" s="123" t="s">
        <v>73</v>
      </c>
      <c r="C44" s="114" t="s">
        <v>36</v>
      </c>
      <c r="D44" s="154">
        <v>1</v>
      </c>
      <c r="E44" s="126">
        <f t="shared" si="7"/>
        <v>735.76671457597229</v>
      </c>
      <c r="F44" s="109"/>
      <c r="G44" s="101">
        <f t="shared" si="5"/>
        <v>223.66552198402792</v>
      </c>
      <c r="H44" s="105"/>
      <c r="I44" s="126">
        <f t="shared" si="6"/>
        <v>959.43223656000021</v>
      </c>
      <c r="J44" s="109"/>
      <c r="K44" s="270">
        <f t="shared" si="10"/>
        <v>2.5000000000000001E-3</v>
      </c>
      <c r="L44" s="259">
        <f t="shared" si="9"/>
        <v>2.5000000000000001E-3</v>
      </c>
    </row>
    <row r="45" spans="1:14" ht="18" customHeight="1">
      <c r="A45" s="120" t="s">
        <v>101</v>
      </c>
      <c r="B45" s="124" t="s">
        <v>74</v>
      </c>
      <c r="C45" s="114" t="s">
        <v>36</v>
      </c>
      <c r="D45" s="153">
        <v>1</v>
      </c>
      <c r="E45" s="126">
        <f t="shared" si="7"/>
        <v>735.76671457597229</v>
      </c>
      <c r="F45" s="108"/>
      <c r="G45" s="101">
        <f t="shared" si="5"/>
        <v>223.66552198402792</v>
      </c>
      <c r="H45" s="104"/>
      <c r="I45" s="126">
        <f t="shared" si="6"/>
        <v>959.43223656000021</v>
      </c>
      <c r="J45" s="108"/>
      <c r="K45" s="270">
        <f t="shared" si="10"/>
        <v>2.5000000000000001E-3</v>
      </c>
      <c r="L45" s="259">
        <f t="shared" si="9"/>
        <v>2.5000000000000001E-3</v>
      </c>
    </row>
    <row r="46" spans="1:14" ht="18" customHeight="1">
      <c r="A46" s="120" t="s">
        <v>102</v>
      </c>
      <c r="B46" s="124" t="s">
        <v>240</v>
      </c>
      <c r="C46" s="114" t="s">
        <v>36</v>
      </c>
      <c r="D46" s="154">
        <v>1</v>
      </c>
      <c r="E46" s="126">
        <f t="shared" si="7"/>
        <v>735.76671457597229</v>
      </c>
      <c r="F46" s="109"/>
      <c r="G46" s="101">
        <f t="shared" si="5"/>
        <v>223.66552198402792</v>
      </c>
      <c r="H46" s="105"/>
      <c r="I46" s="126">
        <f t="shared" si="6"/>
        <v>959.43223656000021</v>
      </c>
      <c r="J46" s="109"/>
      <c r="K46" s="270">
        <f t="shared" si="10"/>
        <v>2.5000000000000001E-3</v>
      </c>
      <c r="L46" s="259">
        <f t="shared" si="9"/>
        <v>2.5000000000000001E-3</v>
      </c>
      <c r="N46" s="24"/>
    </row>
    <row r="47" spans="1:14" ht="18" customHeight="1">
      <c r="A47" s="120" t="s">
        <v>103</v>
      </c>
      <c r="B47" s="121" t="s">
        <v>75</v>
      </c>
      <c r="C47" s="114" t="s">
        <v>36</v>
      </c>
      <c r="D47" s="153">
        <v>1</v>
      </c>
      <c r="E47" s="126">
        <f t="shared" si="7"/>
        <v>588.61337166077783</v>
      </c>
      <c r="F47" s="108"/>
      <c r="G47" s="101">
        <f t="shared" si="5"/>
        <v>178.93241758722229</v>
      </c>
      <c r="H47" s="104"/>
      <c r="I47" s="126">
        <f t="shared" si="6"/>
        <v>767.54578924800012</v>
      </c>
      <c r="J47" s="108"/>
      <c r="K47" s="270">
        <f>IF(D47=1,0.2%,IF(D47=0,0))</f>
        <v>2E-3</v>
      </c>
      <c r="L47" s="259">
        <f t="shared" si="9"/>
        <v>2E-3</v>
      </c>
    </row>
    <row r="48" spans="1:14" ht="18" customHeight="1">
      <c r="A48" s="120" t="s">
        <v>104</v>
      </c>
      <c r="B48" s="121" t="s">
        <v>76</v>
      </c>
      <c r="C48" s="114" t="s">
        <v>36</v>
      </c>
      <c r="D48" s="154">
        <v>1</v>
      </c>
      <c r="E48" s="126">
        <f t="shared" si="7"/>
        <v>735.76671457597229</v>
      </c>
      <c r="F48" s="109"/>
      <c r="G48" s="101">
        <f t="shared" si="5"/>
        <v>223.66552198402792</v>
      </c>
      <c r="H48" s="105"/>
      <c r="I48" s="126">
        <f t="shared" si="6"/>
        <v>959.43223656000021</v>
      </c>
      <c r="J48" s="109"/>
      <c r="K48" s="270">
        <f>IF(D48=1,0.25%,IF(D48=0,0))</f>
        <v>2.5000000000000001E-3</v>
      </c>
      <c r="L48" s="259">
        <f t="shared" si="9"/>
        <v>2.5000000000000001E-3</v>
      </c>
    </row>
    <row r="49" spans="1:13" ht="18" customHeight="1">
      <c r="A49" s="120" t="s">
        <v>105</v>
      </c>
      <c r="B49" s="124" t="s">
        <v>77</v>
      </c>
      <c r="C49" s="114" t="s">
        <v>36</v>
      </c>
      <c r="D49" s="153">
        <v>1</v>
      </c>
      <c r="E49" s="126">
        <f t="shared" si="7"/>
        <v>735.76671457597229</v>
      </c>
      <c r="F49" s="108"/>
      <c r="G49" s="101">
        <f t="shared" si="5"/>
        <v>223.66552198402792</v>
      </c>
      <c r="H49" s="104"/>
      <c r="I49" s="126">
        <f t="shared" si="6"/>
        <v>959.43223656000021</v>
      </c>
      <c r="J49" s="108"/>
      <c r="K49" s="270">
        <f>IF(D49=1,0.25%,IF(D49=0,0))</f>
        <v>2.5000000000000001E-3</v>
      </c>
      <c r="L49" s="259">
        <f t="shared" si="9"/>
        <v>2.5000000000000001E-3</v>
      </c>
    </row>
    <row r="50" spans="1:13" ht="18" customHeight="1">
      <c r="A50" s="120" t="s">
        <v>106</v>
      </c>
      <c r="B50" s="124" t="s">
        <v>78</v>
      </c>
      <c r="C50" s="114" t="s">
        <v>36</v>
      </c>
      <c r="D50" s="154">
        <v>1</v>
      </c>
      <c r="E50" s="126">
        <f t="shared" si="7"/>
        <v>735.76671457597229</v>
      </c>
      <c r="F50" s="109"/>
      <c r="G50" s="101">
        <f t="shared" si="5"/>
        <v>223.66552198402792</v>
      </c>
      <c r="H50" s="105"/>
      <c r="I50" s="126">
        <f t="shared" si="6"/>
        <v>959.43223656000021</v>
      </c>
      <c r="J50" s="109"/>
      <c r="K50" s="270">
        <f>IF(D50=1,0.25%,IF(D50=0,0))</f>
        <v>2.5000000000000001E-3</v>
      </c>
      <c r="L50" s="259">
        <f t="shared" si="9"/>
        <v>2.5000000000000001E-3</v>
      </c>
    </row>
    <row r="51" spans="1:13" ht="18" customHeight="1">
      <c r="A51" s="120" t="s">
        <v>107</v>
      </c>
      <c r="B51" s="124" t="s">
        <v>108</v>
      </c>
      <c r="C51" s="114" t="s">
        <v>36</v>
      </c>
      <c r="D51" s="153">
        <v>1</v>
      </c>
      <c r="E51" s="126">
        <f t="shared" si="7"/>
        <v>147.15334291519446</v>
      </c>
      <c r="F51" s="108"/>
      <c r="G51" s="101">
        <f t="shared" si="5"/>
        <v>44.733104396805572</v>
      </c>
      <c r="H51" s="104"/>
      <c r="I51" s="126">
        <f t="shared" si="6"/>
        <v>191.88644731200003</v>
      </c>
      <c r="J51" s="108"/>
      <c r="K51" s="270">
        <f>IF(D51=1,0.05%,IF(D51=0,0))</f>
        <v>5.0000000000000001E-4</v>
      </c>
      <c r="L51" s="259">
        <f t="shared" si="9"/>
        <v>5.0000000000000001E-4</v>
      </c>
    </row>
    <row r="52" spans="1:13" ht="18" customHeight="1">
      <c r="A52" s="120" t="s">
        <v>109</v>
      </c>
      <c r="B52" s="124" t="s">
        <v>79</v>
      </c>
      <c r="C52" s="114" t="s">
        <v>36</v>
      </c>
      <c r="D52" s="154">
        <v>1</v>
      </c>
      <c r="E52" s="126">
        <f t="shared" si="7"/>
        <v>441.46002874558337</v>
      </c>
      <c r="F52" s="109"/>
      <c r="G52" s="101">
        <f t="shared" si="5"/>
        <v>134.19931319041677</v>
      </c>
      <c r="H52" s="105"/>
      <c r="I52" s="126">
        <f t="shared" si="6"/>
        <v>575.65934193600015</v>
      </c>
      <c r="J52" s="109"/>
      <c r="K52" s="270">
        <f>IF(D52=1,0.15%,IF(D52=0,0))</f>
        <v>1.5E-3</v>
      </c>
      <c r="L52" s="259">
        <f t="shared" si="9"/>
        <v>1.5E-3</v>
      </c>
    </row>
    <row r="53" spans="1:13" ht="18" customHeight="1">
      <c r="A53" s="120" t="s">
        <v>110</v>
      </c>
      <c r="B53" s="124" t="s">
        <v>80</v>
      </c>
      <c r="C53" s="114" t="s">
        <v>36</v>
      </c>
      <c r="D53" s="153">
        <v>1</v>
      </c>
      <c r="E53" s="126">
        <f t="shared" si="7"/>
        <v>588.61337166077783</v>
      </c>
      <c r="F53" s="108"/>
      <c r="G53" s="101">
        <f t="shared" si="5"/>
        <v>178.93241758722229</v>
      </c>
      <c r="H53" s="104"/>
      <c r="I53" s="126">
        <f t="shared" si="6"/>
        <v>767.54578924800012</v>
      </c>
      <c r="J53" s="108"/>
      <c r="K53" s="270">
        <f>IF(D53=1,0.2%,IF(D53=0,0))</f>
        <v>2E-3</v>
      </c>
      <c r="L53" s="259">
        <f t="shared" si="9"/>
        <v>2E-3</v>
      </c>
    </row>
    <row r="54" spans="1:13" ht="18" customHeight="1">
      <c r="A54" s="120" t="s">
        <v>111</v>
      </c>
      <c r="B54" s="124" t="s">
        <v>81</v>
      </c>
      <c r="C54" s="114" t="s">
        <v>36</v>
      </c>
      <c r="D54" s="154">
        <v>1</v>
      </c>
      <c r="E54" s="126">
        <f t="shared" si="7"/>
        <v>147.15334291519446</v>
      </c>
      <c r="F54" s="109"/>
      <c r="G54" s="101">
        <f t="shared" si="5"/>
        <v>44.733104396805572</v>
      </c>
      <c r="H54" s="105"/>
      <c r="I54" s="126">
        <f t="shared" si="6"/>
        <v>191.88644731200003</v>
      </c>
      <c r="J54" s="109"/>
      <c r="K54" s="270">
        <f>IF(D54=1,0.05%,IF(D54=0,0))</f>
        <v>5.0000000000000001E-4</v>
      </c>
      <c r="L54" s="259">
        <f t="shared" si="9"/>
        <v>5.0000000000000001E-4</v>
      </c>
    </row>
    <row r="55" spans="1:13" ht="18" customHeight="1">
      <c r="A55" s="120" t="s">
        <v>112</v>
      </c>
      <c r="B55" s="123" t="s">
        <v>54</v>
      </c>
      <c r="C55" s="114" t="s">
        <v>36</v>
      </c>
      <c r="D55" s="154">
        <v>1</v>
      </c>
      <c r="E55" s="126">
        <f t="shared" si="7"/>
        <v>147.15334291519446</v>
      </c>
      <c r="F55" s="109"/>
      <c r="G55" s="101">
        <f t="shared" si="5"/>
        <v>44.733104396805572</v>
      </c>
      <c r="H55" s="105"/>
      <c r="I55" s="126">
        <f t="shared" si="6"/>
        <v>191.88644731200003</v>
      </c>
      <c r="J55" s="109"/>
      <c r="K55" s="270">
        <f>IF(D55=1,0.05%,IF(D55=0,0))</f>
        <v>5.0000000000000001E-4</v>
      </c>
      <c r="L55" s="259">
        <f t="shared" si="9"/>
        <v>5.0000000000000001E-4</v>
      </c>
    </row>
    <row r="56" spans="1:13" ht="18" customHeight="1">
      <c r="A56" s="9"/>
      <c r="B56" s="29"/>
      <c r="C56" s="10"/>
      <c r="D56" s="11"/>
      <c r="E56" s="12"/>
      <c r="F56" s="12"/>
      <c r="G56" s="12"/>
      <c r="H56" s="12"/>
      <c r="I56" s="12"/>
      <c r="J56" s="12"/>
      <c r="K56" s="13"/>
      <c r="L56" s="63"/>
    </row>
    <row r="57" spans="1:13" ht="18" customHeight="1">
      <c r="A57" s="111" t="s">
        <v>23</v>
      </c>
      <c r="B57" s="111" t="s">
        <v>52</v>
      </c>
      <c r="C57" s="111"/>
      <c r="D57" s="69"/>
      <c r="E57" s="273">
        <f>SUM(E58:E87)</f>
        <v>132438.00862367501</v>
      </c>
      <c r="F57" s="274"/>
      <c r="G57" s="273">
        <f>I57-E57</f>
        <v>40259.793957125046</v>
      </c>
      <c r="H57" s="274"/>
      <c r="I57" s="271">
        <f>SUM(I58:I87)</f>
        <v>172697.80258080005</v>
      </c>
      <c r="J57" s="272"/>
      <c r="K57" s="71">
        <f>SUM(K58:K87)</f>
        <v>0.45000000000000018</v>
      </c>
      <c r="L57" s="116">
        <f>SUM(L58:L87)</f>
        <v>0.45000000000000018</v>
      </c>
    </row>
    <row r="58" spans="1:13" ht="18" customHeight="1">
      <c r="A58" s="120" t="s">
        <v>14</v>
      </c>
      <c r="B58" s="123" t="s">
        <v>217</v>
      </c>
      <c r="C58" s="114" t="s">
        <v>36</v>
      </c>
      <c r="D58" s="153">
        <v>1</v>
      </c>
      <c r="E58" s="126">
        <f t="shared" ref="E58:E87" si="11">(I58/(1+$G$19))</f>
        <v>29430.668583038892</v>
      </c>
      <c r="F58" s="108"/>
      <c r="G58" s="101">
        <f t="shared" ref="G58:G87" si="12">I58-E58</f>
        <v>8946.6208793611186</v>
      </c>
      <c r="H58" s="104"/>
      <c r="I58" s="126">
        <f t="shared" ref="I58:I87" si="13">L58*$K$19</f>
        <v>38377.289462400011</v>
      </c>
      <c r="J58" s="108"/>
      <c r="K58" s="270">
        <f>IF(D58=1,10%,IF(D58=0,0))</f>
        <v>0.1</v>
      </c>
      <c r="L58" s="259">
        <f>K58</f>
        <v>0.1</v>
      </c>
    </row>
    <row r="59" spans="1:13" ht="18" customHeight="1">
      <c r="A59" s="120" t="s">
        <v>15</v>
      </c>
      <c r="B59" s="123" t="s">
        <v>133</v>
      </c>
      <c r="C59" s="114" t="s">
        <v>36</v>
      </c>
      <c r="D59" s="154">
        <v>1</v>
      </c>
      <c r="E59" s="126">
        <f t="shared" si="11"/>
        <v>1471.5334291519446</v>
      </c>
      <c r="F59" s="109"/>
      <c r="G59" s="101">
        <f t="shared" si="12"/>
        <v>447.33104396805584</v>
      </c>
      <c r="H59" s="105"/>
      <c r="I59" s="126">
        <f t="shared" si="13"/>
        <v>1918.8644731200004</v>
      </c>
      <c r="J59" s="109"/>
      <c r="K59" s="270">
        <f>IF(D59=1,0.5%,IF(D59=0,0))</f>
        <v>5.0000000000000001E-3</v>
      </c>
      <c r="L59" s="259">
        <f t="shared" ref="L59:L87" si="14">K59</f>
        <v>5.0000000000000001E-3</v>
      </c>
    </row>
    <row r="60" spans="1:13" ht="18" customHeight="1">
      <c r="A60" s="121" t="s">
        <v>84</v>
      </c>
      <c r="B60" s="121" t="s">
        <v>134</v>
      </c>
      <c r="C60" s="114" t="s">
        <v>36</v>
      </c>
      <c r="D60" s="153">
        <v>1</v>
      </c>
      <c r="E60" s="126">
        <f t="shared" si="11"/>
        <v>441.46002874558337</v>
      </c>
      <c r="F60" s="108"/>
      <c r="G60" s="101">
        <f t="shared" si="12"/>
        <v>134.19931319041677</v>
      </c>
      <c r="H60" s="104"/>
      <c r="I60" s="126">
        <f t="shared" si="13"/>
        <v>575.65934193600015</v>
      </c>
      <c r="J60" s="108"/>
      <c r="K60" s="270">
        <f>IF(D60=1,0.15%,IF(D60=0,0))</f>
        <v>1.5E-3</v>
      </c>
      <c r="L60" s="259">
        <f t="shared" si="14"/>
        <v>1.5E-3</v>
      </c>
    </row>
    <row r="61" spans="1:13" ht="18" customHeight="1">
      <c r="A61" s="120" t="s">
        <v>16</v>
      </c>
      <c r="B61" s="124" t="s">
        <v>65</v>
      </c>
      <c r="C61" s="114" t="s">
        <v>36</v>
      </c>
      <c r="D61" s="154">
        <v>1</v>
      </c>
      <c r="E61" s="126">
        <f t="shared" si="11"/>
        <v>588.61337166077783</v>
      </c>
      <c r="F61" s="109"/>
      <c r="G61" s="101">
        <f t="shared" si="12"/>
        <v>178.93241758722229</v>
      </c>
      <c r="H61" s="105"/>
      <c r="I61" s="126">
        <f t="shared" si="13"/>
        <v>767.54578924800012</v>
      </c>
      <c r="J61" s="109"/>
      <c r="K61" s="270">
        <f>IF(D61=1,0.2%,IF(D61=0,0))</f>
        <v>2E-3</v>
      </c>
      <c r="L61" s="259">
        <f t="shared" si="14"/>
        <v>2E-3</v>
      </c>
    </row>
    <row r="62" spans="1:13" ht="18" customHeight="1">
      <c r="A62" s="120" t="s">
        <v>41</v>
      </c>
      <c r="B62" s="124" t="s">
        <v>66</v>
      </c>
      <c r="C62" s="114" t="s">
        <v>36</v>
      </c>
      <c r="D62" s="153">
        <v>1</v>
      </c>
      <c r="E62" s="126">
        <f t="shared" si="11"/>
        <v>7357.6671457597231</v>
      </c>
      <c r="F62" s="108"/>
      <c r="G62" s="101">
        <f t="shared" si="12"/>
        <v>2236.6552198402796</v>
      </c>
      <c r="H62" s="104"/>
      <c r="I62" s="126">
        <f t="shared" si="13"/>
        <v>9594.3223656000027</v>
      </c>
      <c r="J62" s="108"/>
      <c r="K62" s="270">
        <f>IF(D62=1,2.5%,IF(D62=0,0))</f>
        <v>2.5000000000000001E-2</v>
      </c>
      <c r="L62" s="259">
        <f t="shared" si="14"/>
        <v>2.5000000000000001E-2</v>
      </c>
      <c r="M62" s="24"/>
    </row>
    <row r="63" spans="1:13" ht="18" customHeight="1">
      <c r="A63" s="120" t="s">
        <v>85</v>
      </c>
      <c r="B63" s="124" t="s">
        <v>67</v>
      </c>
      <c r="C63" s="114" t="s">
        <v>36</v>
      </c>
      <c r="D63" s="154">
        <v>1</v>
      </c>
      <c r="E63" s="126">
        <f t="shared" si="11"/>
        <v>26487.601724734999</v>
      </c>
      <c r="F63" s="109"/>
      <c r="G63" s="101">
        <f t="shared" si="12"/>
        <v>8051.9587914250042</v>
      </c>
      <c r="H63" s="105"/>
      <c r="I63" s="126">
        <f t="shared" si="13"/>
        <v>34539.560516160003</v>
      </c>
      <c r="J63" s="109"/>
      <c r="K63" s="270">
        <f>IF(D63=1,9%,IF(D63=0,0))</f>
        <v>0.09</v>
      </c>
      <c r="L63" s="259">
        <f t="shared" si="14"/>
        <v>0.09</v>
      </c>
    </row>
    <row r="64" spans="1:13" ht="18" customHeight="1">
      <c r="A64" s="120" t="s">
        <v>42</v>
      </c>
      <c r="B64" s="124" t="s">
        <v>68</v>
      </c>
      <c r="C64" s="114" t="s">
        <v>36</v>
      </c>
      <c r="D64" s="153">
        <v>1</v>
      </c>
      <c r="E64" s="126">
        <f t="shared" si="11"/>
        <v>2501.6068295583059</v>
      </c>
      <c r="F64" s="108"/>
      <c r="G64" s="101">
        <f t="shared" si="12"/>
        <v>760.46277474569479</v>
      </c>
      <c r="H64" s="104"/>
      <c r="I64" s="126">
        <f t="shared" si="13"/>
        <v>3262.0696043040007</v>
      </c>
      <c r="J64" s="108"/>
      <c r="K64" s="270">
        <f>IF(D64=1,0.85%,IF(D64=0,0))</f>
        <v>8.5000000000000006E-3</v>
      </c>
      <c r="L64" s="259">
        <f t="shared" si="14"/>
        <v>8.5000000000000006E-3</v>
      </c>
    </row>
    <row r="65" spans="1:12" ht="18" customHeight="1">
      <c r="A65" s="120" t="s">
        <v>43</v>
      </c>
      <c r="B65" s="124" t="s">
        <v>239</v>
      </c>
      <c r="C65" s="114" t="s">
        <v>36</v>
      </c>
      <c r="D65" s="154">
        <v>1</v>
      </c>
      <c r="E65" s="126">
        <f t="shared" si="11"/>
        <v>4414.6002874558335</v>
      </c>
      <c r="F65" s="109"/>
      <c r="G65" s="101">
        <f t="shared" si="12"/>
        <v>1341.9931319041671</v>
      </c>
      <c r="H65" s="105"/>
      <c r="I65" s="126">
        <f t="shared" si="13"/>
        <v>5756.5934193600006</v>
      </c>
      <c r="J65" s="109"/>
      <c r="K65" s="270">
        <f>IF(D65=1,1.5%,IF(D65=0,0))</f>
        <v>1.4999999999999999E-2</v>
      </c>
      <c r="L65" s="259">
        <f t="shared" si="14"/>
        <v>1.4999999999999999E-2</v>
      </c>
    </row>
    <row r="66" spans="1:12" ht="18" customHeight="1">
      <c r="A66" s="120" t="s">
        <v>44</v>
      </c>
      <c r="B66" s="123" t="s">
        <v>69</v>
      </c>
      <c r="C66" s="114" t="s">
        <v>36</v>
      </c>
      <c r="D66" s="153">
        <v>1</v>
      </c>
      <c r="E66" s="126">
        <f t="shared" si="11"/>
        <v>4414.6002874558335</v>
      </c>
      <c r="F66" s="108"/>
      <c r="G66" s="101">
        <f t="shared" si="12"/>
        <v>1341.9931319041671</v>
      </c>
      <c r="H66" s="104"/>
      <c r="I66" s="126">
        <f t="shared" si="13"/>
        <v>5756.5934193600006</v>
      </c>
      <c r="J66" s="108"/>
      <c r="K66" s="270">
        <f>IF(D66=1,1.5%,IF(D66=0,0))</f>
        <v>1.4999999999999999E-2</v>
      </c>
      <c r="L66" s="259">
        <f t="shared" si="14"/>
        <v>1.4999999999999999E-2</v>
      </c>
    </row>
    <row r="67" spans="1:12" ht="18" customHeight="1">
      <c r="A67" s="120" t="s">
        <v>116</v>
      </c>
      <c r="B67" s="123" t="s">
        <v>136</v>
      </c>
      <c r="C67" s="114" t="s">
        <v>36</v>
      </c>
      <c r="D67" s="154">
        <v>1</v>
      </c>
      <c r="E67" s="126">
        <f t="shared" si="11"/>
        <v>1471.5334291519446</v>
      </c>
      <c r="F67" s="109"/>
      <c r="G67" s="101">
        <f t="shared" si="12"/>
        <v>447.33104396805584</v>
      </c>
      <c r="H67" s="105"/>
      <c r="I67" s="126">
        <f t="shared" si="13"/>
        <v>1918.8644731200004</v>
      </c>
      <c r="J67" s="109"/>
      <c r="K67" s="270">
        <f>IF(D67=1,0.5%,IF(D67=0,0))</f>
        <v>5.0000000000000001E-3</v>
      </c>
      <c r="L67" s="259">
        <f t="shared" si="14"/>
        <v>5.0000000000000001E-3</v>
      </c>
    </row>
    <row r="68" spans="1:12" ht="18" customHeight="1">
      <c r="A68" s="120" t="s">
        <v>117</v>
      </c>
      <c r="B68" s="123" t="s">
        <v>70</v>
      </c>
      <c r="C68" s="114" t="s">
        <v>36</v>
      </c>
      <c r="D68" s="153">
        <v>1</v>
      </c>
      <c r="E68" s="126">
        <f t="shared" si="11"/>
        <v>7357.6671457597231</v>
      </c>
      <c r="F68" s="108"/>
      <c r="G68" s="101">
        <f t="shared" si="12"/>
        <v>2236.6552198402796</v>
      </c>
      <c r="H68" s="104"/>
      <c r="I68" s="126">
        <f t="shared" si="13"/>
        <v>9594.3223656000027</v>
      </c>
      <c r="J68" s="108"/>
      <c r="K68" s="270">
        <f>IF(D68=1,2.5%,IF(D68=0,0))</f>
        <v>2.5000000000000001E-2</v>
      </c>
      <c r="L68" s="259">
        <f t="shared" si="14"/>
        <v>2.5000000000000001E-2</v>
      </c>
    </row>
    <row r="69" spans="1:12" ht="18" customHeight="1">
      <c r="A69" s="120" t="s">
        <v>118</v>
      </c>
      <c r="B69" s="123" t="s">
        <v>71</v>
      </c>
      <c r="C69" s="114" t="s">
        <v>36</v>
      </c>
      <c r="D69" s="154">
        <v>1</v>
      </c>
      <c r="E69" s="126">
        <f t="shared" si="11"/>
        <v>4414.6002874558335</v>
      </c>
      <c r="F69" s="109"/>
      <c r="G69" s="101">
        <f t="shared" si="12"/>
        <v>1341.9931319041671</v>
      </c>
      <c r="H69" s="105"/>
      <c r="I69" s="126">
        <f t="shared" si="13"/>
        <v>5756.5934193600006</v>
      </c>
      <c r="J69" s="109"/>
      <c r="K69" s="270">
        <f>IF(D69=1,1.5%,IF(D69=0,0))</f>
        <v>1.4999999999999999E-2</v>
      </c>
      <c r="L69" s="259">
        <f t="shared" si="14"/>
        <v>1.4999999999999999E-2</v>
      </c>
    </row>
    <row r="70" spans="1:12" ht="18" customHeight="1">
      <c r="A70" s="120" t="s">
        <v>119</v>
      </c>
      <c r="B70" s="123" t="s">
        <v>72</v>
      </c>
      <c r="C70" s="114" t="s">
        <v>36</v>
      </c>
      <c r="D70" s="153">
        <v>1</v>
      </c>
      <c r="E70" s="126">
        <f t="shared" si="11"/>
        <v>2943.0668583038891</v>
      </c>
      <c r="F70" s="108"/>
      <c r="G70" s="101">
        <f t="shared" si="12"/>
        <v>894.66208793611167</v>
      </c>
      <c r="H70" s="104"/>
      <c r="I70" s="126">
        <f t="shared" si="13"/>
        <v>3837.7289462400008</v>
      </c>
      <c r="J70" s="108"/>
      <c r="K70" s="270">
        <f>IF(D70=1,1%,IF(D70=0,0))</f>
        <v>0.01</v>
      </c>
      <c r="L70" s="259">
        <f t="shared" si="14"/>
        <v>0.01</v>
      </c>
    </row>
    <row r="71" spans="1:12" ht="18" customHeight="1">
      <c r="A71" s="120" t="s">
        <v>120</v>
      </c>
      <c r="B71" s="123" t="s">
        <v>73</v>
      </c>
      <c r="C71" s="114" t="s">
        <v>36</v>
      </c>
      <c r="D71" s="154">
        <v>1</v>
      </c>
      <c r="E71" s="126">
        <f t="shared" si="11"/>
        <v>2943.0668583038891</v>
      </c>
      <c r="F71" s="109"/>
      <c r="G71" s="101">
        <f t="shared" si="12"/>
        <v>894.66208793611167</v>
      </c>
      <c r="H71" s="105"/>
      <c r="I71" s="126">
        <f t="shared" si="13"/>
        <v>3837.7289462400008</v>
      </c>
      <c r="J71" s="109"/>
      <c r="K71" s="270">
        <f>IF(D71=1,1%,IF(D71=0,0))</f>
        <v>0.01</v>
      </c>
      <c r="L71" s="259">
        <f t="shared" si="14"/>
        <v>0.01</v>
      </c>
    </row>
    <row r="72" spans="1:12" ht="18" customHeight="1">
      <c r="A72" s="120" t="s">
        <v>121</v>
      </c>
      <c r="B72" s="124" t="s">
        <v>74</v>
      </c>
      <c r="C72" s="114" t="s">
        <v>36</v>
      </c>
      <c r="D72" s="153">
        <v>1</v>
      </c>
      <c r="E72" s="126">
        <f t="shared" si="11"/>
        <v>4414.6002874558335</v>
      </c>
      <c r="F72" s="108"/>
      <c r="G72" s="101">
        <f t="shared" si="12"/>
        <v>1341.9931319041671</v>
      </c>
      <c r="H72" s="104"/>
      <c r="I72" s="126">
        <f t="shared" si="13"/>
        <v>5756.5934193600006</v>
      </c>
      <c r="J72" s="108"/>
      <c r="K72" s="270">
        <f>IF(D72=1,1.5%,IF(D72=0,0))</f>
        <v>1.4999999999999999E-2</v>
      </c>
      <c r="L72" s="259">
        <f t="shared" si="14"/>
        <v>1.4999999999999999E-2</v>
      </c>
    </row>
    <row r="73" spans="1:12" ht="18" customHeight="1">
      <c r="A73" s="120" t="s">
        <v>122</v>
      </c>
      <c r="B73" s="124" t="s">
        <v>241</v>
      </c>
      <c r="C73" s="114" t="s">
        <v>36</v>
      </c>
      <c r="D73" s="154">
        <v>1</v>
      </c>
      <c r="E73" s="126">
        <f t="shared" si="11"/>
        <v>4414.6002874558335</v>
      </c>
      <c r="F73" s="109"/>
      <c r="G73" s="101">
        <f t="shared" si="12"/>
        <v>1341.9931319041671</v>
      </c>
      <c r="H73" s="105"/>
      <c r="I73" s="126">
        <f t="shared" si="13"/>
        <v>5756.5934193600006</v>
      </c>
      <c r="J73" s="109"/>
      <c r="K73" s="270">
        <f t="shared" ref="K73:K74" si="15">IF(D73=1,1.5%,IF(D73=0,0))</f>
        <v>1.4999999999999999E-2</v>
      </c>
      <c r="L73" s="259">
        <f t="shared" si="14"/>
        <v>1.4999999999999999E-2</v>
      </c>
    </row>
    <row r="74" spans="1:12" ht="18" customHeight="1">
      <c r="A74" s="120" t="s">
        <v>123</v>
      </c>
      <c r="B74" s="121" t="s">
        <v>75</v>
      </c>
      <c r="C74" s="114" t="s">
        <v>36</v>
      </c>
      <c r="D74" s="153">
        <v>1</v>
      </c>
      <c r="E74" s="126">
        <f t="shared" si="11"/>
        <v>4414.6002874558335</v>
      </c>
      <c r="F74" s="108"/>
      <c r="G74" s="101">
        <f t="shared" si="12"/>
        <v>1341.9931319041671</v>
      </c>
      <c r="H74" s="104"/>
      <c r="I74" s="126">
        <f t="shared" si="13"/>
        <v>5756.5934193600006</v>
      </c>
      <c r="J74" s="108"/>
      <c r="K74" s="270">
        <f t="shared" si="15"/>
        <v>1.4999999999999999E-2</v>
      </c>
      <c r="L74" s="259">
        <f t="shared" si="14"/>
        <v>1.4999999999999999E-2</v>
      </c>
    </row>
    <row r="75" spans="1:12" ht="18" customHeight="1">
      <c r="A75" s="120" t="s">
        <v>124</v>
      </c>
      <c r="B75" s="121" t="s">
        <v>76</v>
      </c>
      <c r="C75" s="114" t="s">
        <v>36</v>
      </c>
      <c r="D75" s="154">
        <v>1</v>
      </c>
      <c r="E75" s="126">
        <f t="shared" si="11"/>
        <v>4708.9069732862226</v>
      </c>
      <c r="F75" s="109"/>
      <c r="G75" s="101">
        <f t="shared" si="12"/>
        <v>1431.4593406977783</v>
      </c>
      <c r="H75" s="105"/>
      <c r="I75" s="126">
        <f t="shared" si="13"/>
        <v>6140.366313984001</v>
      </c>
      <c r="J75" s="109"/>
      <c r="K75" s="270">
        <f>IF(D75=1,1.6%,IF(D75=0,0))</f>
        <v>1.6E-2</v>
      </c>
      <c r="L75" s="259">
        <f t="shared" si="14"/>
        <v>1.6E-2</v>
      </c>
    </row>
    <row r="76" spans="1:12" ht="18" customHeight="1">
      <c r="A76" s="120" t="s">
        <v>125</v>
      </c>
      <c r="B76" s="124" t="s">
        <v>77</v>
      </c>
      <c r="C76" s="114" t="s">
        <v>36</v>
      </c>
      <c r="D76" s="153">
        <v>1</v>
      </c>
      <c r="E76" s="126">
        <f t="shared" si="11"/>
        <v>5886.1337166077783</v>
      </c>
      <c r="F76" s="108"/>
      <c r="G76" s="101">
        <f t="shared" si="12"/>
        <v>1789.3241758722233</v>
      </c>
      <c r="H76" s="104"/>
      <c r="I76" s="126">
        <f t="shared" si="13"/>
        <v>7675.4578924800016</v>
      </c>
      <c r="J76" s="108"/>
      <c r="K76" s="270">
        <f>IF(D76=1,2%,IF(D76=0,0))</f>
        <v>0.02</v>
      </c>
      <c r="L76" s="259">
        <f t="shared" si="14"/>
        <v>0.02</v>
      </c>
    </row>
    <row r="77" spans="1:12" ht="18" customHeight="1">
      <c r="A77" s="120" t="s">
        <v>126</v>
      </c>
      <c r="B77" s="124" t="s">
        <v>78</v>
      </c>
      <c r="C77" s="114" t="s">
        <v>36</v>
      </c>
      <c r="D77" s="154">
        <v>1</v>
      </c>
      <c r="E77" s="126">
        <f t="shared" si="11"/>
        <v>4414.6002874558335</v>
      </c>
      <c r="F77" s="109"/>
      <c r="G77" s="101">
        <f t="shared" si="12"/>
        <v>1341.9931319041671</v>
      </c>
      <c r="H77" s="105"/>
      <c r="I77" s="126">
        <f t="shared" si="13"/>
        <v>5756.5934193600006</v>
      </c>
      <c r="J77" s="109"/>
      <c r="K77" s="270">
        <f>IF(D77=1,1.5%,IF(D77=0,0))</f>
        <v>1.4999999999999999E-2</v>
      </c>
      <c r="L77" s="259">
        <f t="shared" si="14"/>
        <v>1.4999999999999999E-2</v>
      </c>
    </row>
    <row r="78" spans="1:12" ht="18" customHeight="1">
      <c r="A78" s="120" t="s">
        <v>127</v>
      </c>
      <c r="B78" s="124" t="s">
        <v>108</v>
      </c>
      <c r="C78" s="114" t="s">
        <v>36</v>
      </c>
      <c r="D78" s="153">
        <v>1</v>
      </c>
      <c r="E78" s="126">
        <f t="shared" si="11"/>
        <v>147.15334291519446</v>
      </c>
      <c r="F78" s="108"/>
      <c r="G78" s="101">
        <f t="shared" si="12"/>
        <v>44.733104396805572</v>
      </c>
      <c r="H78" s="104"/>
      <c r="I78" s="126">
        <f t="shared" si="13"/>
        <v>191.88644731200003</v>
      </c>
      <c r="J78" s="108"/>
      <c r="K78" s="270">
        <f t="shared" ref="K78" si="16">IF(D78=1,0.05%,IF(D78=0,0))</f>
        <v>5.0000000000000001E-4</v>
      </c>
      <c r="L78" s="259">
        <f t="shared" si="14"/>
        <v>5.0000000000000001E-4</v>
      </c>
    </row>
    <row r="79" spans="1:12" ht="18" customHeight="1">
      <c r="A79" s="120" t="s">
        <v>128</v>
      </c>
      <c r="B79" s="124" t="s">
        <v>79</v>
      </c>
      <c r="C79" s="114" t="s">
        <v>36</v>
      </c>
      <c r="D79" s="154">
        <v>1</v>
      </c>
      <c r="E79" s="126">
        <f t="shared" si="11"/>
        <v>294.30668583038891</v>
      </c>
      <c r="F79" s="109"/>
      <c r="G79" s="101">
        <f t="shared" si="12"/>
        <v>89.466208793611145</v>
      </c>
      <c r="H79" s="105"/>
      <c r="I79" s="126">
        <f t="shared" si="13"/>
        <v>383.77289462400006</v>
      </c>
      <c r="J79" s="109"/>
      <c r="K79" s="270">
        <f>IF(D79=1,0.1%,IF(D79=0,0))</f>
        <v>1E-3</v>
      </c>
      <c r="L79" s="259">
        <f t="shared" si="14"/>
        <v>1E-3</v>
      </c>
    </row>
    <row r="80" spans="1:12" ht="18" customHeight="1">
      <c r="A80" s="120" t="s">
        <v>129</v>
      </c>
      <c r="B80" s="124" t="s">
        <v>80</v>
      </c>
      <c r="C80" s="114" t="s">
        <v>36</v>
      </c>
      <c r="D80" s="153">
        <v>1</v>
      </c>
      <c r="E80" s="126">
        <f t="shared" si="11"/>
        <v>735.76671457597229</v>
      </c>
      <c r="F80" s="108"/>
      <c r="G80" s="101">
        <f t="shared" si="12"/>
        <v>223.66552198402792</v>
      </c>
      <c r="H80" s="104"/>
      <c r="I80" s="126">
        <f t="shared" si="13"/>
        <v>959.43223656000021</v>
      </c>
      <c r="J80" s="108"/>
      <c r="K80" s="270">
        <f>IF(D80=1,0.25%,IF(D80=0,0))</f>
        <v>2.5000000000000001E-3</v>
      </c>
      <c r="L80" s="259">
        <f t="shared" si="14"/>
        <v>2.5000000000000001E-3</v>
      </c>
    </row>
    <row r="81" spans="1:13" ht="18" customHeight="1">
      <c r="A81" s="120" t="s">
        <v>130</v>
      </c>
      <c r="B81" s="124" t="s">
        <v>81</v>
      </c>
      <c r="C81" s="114" t="s">
        <v>36</v>
      </c>
      <c r="D81" s="154">
        <v>1</v>
      </c>
      <c r="E81" s="126">
        <f t="shared" si="11"/>
        <v>294.30668583038891</v>
      </c>
      <c r="F81" s="109"/>
      <c r="G81" s="101">
        <f t="shared" si="12"/>
        <v>89.466208793611145</v>
      </c>
      <c r="H81" s="105"/>
      <c r="I81" s="126">
        <f t="shared" si="13"/>
        <v>383.77289462400006</v>
      </c>
      <c r="J81" s="109"/>
      <c r="K81" s="270">
        <f>IF(D81=1,0.1%,IF(D81=0,0))</f>
        <v>1E-3</v>
      </c>
      <c r="L81" s="259">
        <f t="shared" si="14"/>
        <v>1E-3</v>
      </c>
    </row>
    <row r="82" spans="1:13" ht="18" customHeight="1">
      <c r="A82" s="120" t="s">
        <v>131</v>
      </c>
      <c r="B82" s="123" t="s">
        <v>54</v>
      </c>
      <c r="C82" s="114" t="s">
        <v>36</v>
      </c>
      <c r="D82" s="153">
        <v>1</v>
      </c>
      <c r="E82" s="126">
        <f t="shared" si="11"/>
        <v>147.15334291519446</v>
      </c>
      <c r="F82" s="108"/>
      <c r="G82" s="101">
        <f t="shared" si="12"/>
        <v>44.733104396805572</v>
      </c>
      <c r="H82" s="104"/>
      <c r="I82" s="126">
        <f t="shared" si="13"/>
        <v>191.88644731200003</v>
      </c>
      <c r="J82" s="108"/>
      <c r="K82" s="270">
        <f>IF(D82=1,0.05%,IF(D82=0,0))</f>
        <v>5.0000000000000001E-4</v>
      </c>
      <c r="L82" s="259">
        <f t="shared" si="14"/>
        <v>5.0000000000000001E-4</v>
      </c>
    </row>
    <row r="83" spans="1:13" ht="18" customHeight="1">
      <c r="A83" s="122" t="s">
        <v>171</v>
      </c>
      <c r="B83" s="124" t="s">
        <v>160</v>
      </c>
      <c r="C83" s="114" t="s">
        <v>36</v>
      </c>
      <c r="D83" s="154">
        <v>1</v>
      </c>
      <c r="E83" s="126">
        <f t="shared" si="11"/>
        <v>1471.5334291519446</v>
      </c>
      <c r="F83" s="109"/>
      <c r="G83" s="101">
        <f t="shared" si="12"/>
        <v>447.33104396805584</v>
      </c>
      <c r="H83" s="105"/>
      <c r="I83" s="126">
        <f t="shared" si="13"/>
        <v>1918.8644731200004</v>
      </c>
      <c r="J83" s="109"/>
      <c r="K83" s="270">
        <f>IF(D83=1,0.5%,IF(D83=0,0))</f>
        <v>5.0000000000000001E-3</v>
      </c>
      <c r="L83" s="259">
        <f t="shared" si="14"/>
        <v>5.0000000000000001E-3</v>
      </c>
    </row>
    <row r="84" spans="1:13" ht="18" customHeight="1">
      <c r="A84" s="122" t="s">
        <v>172</v>
      </c>
      <c r="B84" s="123" t="s">
        <v>161</v>
      </c>
      <c r="C84" s="114" t="s">
        <v>36</v>
      </c>
      <c r="D84" s="153">
        <v>1</v>
      </c>
      <c r="E84" s="126">
        <f t="shared" si="11"/>
        <v>2207.3001437279167</v>
      </c>
      <c r="F84" s="108"/>
      <c r="G84" s="101">
        <f t="shared" si="12"/>
        <v>670.99656595208353</v>
      </c>
      <c r="H84" s="104"/>
      <c r="I84" s="126">
        <f t="shared" si="13"/>
        <v>2878.2967096800003</v>
      </c>
      <c r="J84" s="108"/>
      <c r="K84" s="270">
        <f>IF(D84=1,0.75%,IF(D84=0,0))</f>
        <v>7.4999999999999997E-3</v>
      </c>
      <c r="L84" s="259">
        <f t="shared" si="14"/>
        <v>7.4999999999999997E-3</v>
      </c>
    </row>
    <row r="85" spans="1:13" ht="18" customHeight="1">
      <c r="A85" s="122" t="s">
        <v>173</v>
      </c>
      <c r="B85" s="123" t="s">
        <v>162</v>
      </c>
      <c r="C85" s="114" t="s">
        <v>36</v>
      </c>
      <c r="D85" s="154">
        <v>1</v>
      </c>
      <c r="E85" s="126">
        <f t="shared" si="11"/>
        <v>1471.5334291519446</v>
      </c>
      <c r="F85" s="109"/>
      <c r="G85" s="101">
        <f t="shared" si="12"/>
        <v>447.33104396805584</v>
      </c>
      <c r="H85" s="105"/>
      <c r="I85" s="126">
        <f t="shared" si="13"/>
        <v>1918.8644731200004</v>
      </c>
      <c r="J85" s="109"/>
      <c r="K85" s="270">
        <f>IF(D85=1,0.5%,IF(D85=0,0))</f>
        <v>5.0000000000000001E-3</v>
      </c>
      <c r="L85" s="259">
        <f t="shared" si="14"/>
        <v>5.0000000000000001E-3</v>
      </c>
    </row>
    <row r="86" spans="1:13" ht="18" customHeight="1">
      <c r="A86" s="122" t="s">
        <v>174</v>
      </c>
      <c r="B86" s="124" t="s">
        <v>132</v>
      </c>
      <c r="C86" s="114" t="s">
        <v>36</v>
      </c>
      <c r="D86" s="153">
        <v>1</v>
      </c>
      <c r="E86" s="126">
        <f t="shared" si="11"/>
        <v>735.76671457597229</v>
      </c>
      <c r="F86" s="108"/>
      <c r="G86" s="101">
        <f t="shared" si="12"/>
        <v>223.66552198402792</v>
      </c>
      <c r="H86" s="104"/>
      <c r="I86" s="126">
        <f t="shared" si="13"/>
        <v>959.43223656000021</v>
      </c>
      <c r="J86" s="108"/>
      <c r="K86" s="270">
        <f>IF(D86=1,0.25%,IF(D86=0,0))</f>
        <v>2.5000000000000001E-3</v>
      </c>
      <c r="L86" s="259">
        <f t="shared" si="14"/>
        <v>2.5000000000000001E-3</v>
      </c>
    </row>
    <row r="87" spans="1:13" ht="18" customHeight="1">
      <c r="A87" s="122" t="s">
        <v>184</v>
      </c>
      <c r="B87" s="124" t="s">
        <v>185</v>
      </c>
      <c r="C87" s="114" t="s">
        <v>36</v>
      </c>
      <c r="D87" s="154">
        <v>1</v>
      </c>
      <c r="E87" s="126">
        <f t="shared" si="11"/>
        <v>441.46002874558337</v>
      </c>
      <c r="F87" s="109"/>
      <c r="G87" s="101">
        <f t="shared" si="12"/>
        <v>134.19931319041677</v>
      </c>
      <c r="H87" s="105"/>
      <c r="I87" s="126">
        <f t="shared" si="13"/>
        <v>575.65934193600015</v>
      </c>
      <c r="J87" s="109"/>
      <c r="K87" s="270">
        <f>IF(D87=1,0.15%,IF(D87=0,0))</f>
        <v>1.5E-3</v>
      </c>
      <c r="L87" s="259">
        <f t="shared" si="14"/>
        <v>1.5E-3</v>
      </c>
    </row>
    <row r="88" spans="1:13" ht="18" customHeight="1">
      <c r="A88" s="30"/>
      <c r="B88" s="31"/>
      <c r="C88" s="32"/>
      <c r="D88" s="11"/>
      <c r="E88" s="12"/>
      <c r="F88" s="12"/>
      <c r="G88" s="12"/>
      <c r="H88" s="12"/>
      <c r="I88" s="12"/>
      <c r="J88" s="12"/>
      <c r="K88" s="13"/>
      <c r="L88" s="63"/>
    </row>
    <row r="89" spans="1:13" ht="18" customHeight="1">
      <c r="A89" s="111" t="s">
        <v>24</v>
      </c>
      <c r="B89" s="68" t="s">
        <v>56</v>
      </c>
      <c r="C89" s="111"/>
      <c r="D89" s="112"/>
      <c r="E89" s="273">
        <f>SUM(E90:E121)</f>
        <v>73576.6714575972</v>
      </c>
      <c r="F89" s="274"/>
      <c r="G89" s="273">
        <f>I89-E89</f>
        <v>22366.552198402875</v>
      </c>
      <c r="H89" s="274"/>
      <c r="I89" s="271">
        <f>SUM(I90:I121)</f>
        <v>95943.223656000075</v>
      </c>
      <c r="J89" s="272"/>
      <c r="K89" s="116">
        <f>SUM(K90:K121)</f>
        <v>0.25000000000000011</v>
      </c>
      <c r="L89" s="116">
        <f>SUM(L90:L121)</f>
        <v>0.25000000000000011</v>
      </c>
    </row>
    <row r="90" spans="1:13" ht="18" customHeight="1">
      <c r="A90" s="120" t="s">
        <v>0</v>
      </c>
      <c r="B90" s="64" t="s">
        <v>217</v>
      </c>
      <c r="C90" s="114" t="s">
        <v>36</v>
      </c>
      <c r="D90" s="152">
        <v>1</v>
      </c>
      <c r="E90" s="126">
        <f t="shared" ref="E90:E121" si="17">(I90/(1+$G$19))</f>
        <v>25016.068295583056</v>
      </c>
      <c r="F90" s="108"/>
      <c r="G90" s="101">
        <f t="shared" ref="G90:G121" si="18">I90-E90</f>
        <v>7604.6277474569506</v>
      </c>
      <c r="H90" s="118"/>
      <c r="I90" s="126">
        <f t="shared" ref="I90:I121" si="19">L90*$K$19</f>
        <v>32620.696043040007</v>
      </c>
      <c r="J90" s="65"/>
      <c r="K90" s="117">
        <f>IF(D90=1,8.5%,IF(D90=0,0))</f>
        <v>8.5000000000000006E-2</v>
      </c>
      <c r="L90" s="259">
        <f>K90</f>
        <v>8.5000000000000006E-2</v>
      </c>
      <c r="M90" s="24"/>
    </row>
    <row r="91" spans="1:13" ht="18" customHeight="1">
      <c r="A91" s="120" t="s">
        <v>17</v>
      </c>
      <c r="B91" s="66" t="s">
        <v>133</v>
      </c>
      <c r="C91" s="114" t="s">
        <v>36</v>
      </c>
      <c r="D91" s="152">
        <v>1</v>
      </c>
      <c r="E91" s="126">
        <f t="shared" si="17"/>
        <v>7357.6671457597231</v>
      </c>
      <c r="F91" s="109"/>
      <c r="G91" s="101">
        <f t="shared" si="18"/>
        <v>2236.6552198402796</v>
      </c>
      <c r="H91" s="119"/>
      <c r="I91" s="126">
        <f t="shared" si="19"/>
        <v>9594.3223656000027</v>
      </c>
      <c r="J91" s="67"/>
      <c r="K91" s="117">
        <f>IF(D91=1,2.5%,IF(D91=0,0))</f>
        <v>2.5000000000000001E-2</v>
      </c>
      <c r="L91" s="259">
        <f t="shared" ref="L91:L121" si="20">K91</f>
        <v>2.5000000000000001E-2</v>
      </c>
    </row>
    <row r="92" spans="1:13" ht="18" customHeight="1">
      <c r="A92" s="121" t="s">
        <v>18</v>
      </c>
      <c r="B92" s="34" t="s">
        <v>134</v>
      </c>
      <c r="C92" s="114" t="s">
        <v>36</v>
      </c>
      <c r="D92" s="152">
        <v>1</v>
      </c>
      <c r="E92" s="126">
        <f t="shared" si="17"/>
        <v>294.30668583038891</v>
      </c>
      <c r="F92" s="108"/>
      <c r="G92" s="101">
        <f t="shared" si="18"/>
        <v>89.466208793611145</v>
      </c>
      <c r="H92" s="118"/>
      <c r="I92" s="126">
        <f t="shared" si="19"/>
        <v>383.77289462400006</v>
      </c>
      <c r="J92" s="65"/>
      <c r="K92" s="117">
        <f>IF(D92=1,0.1%,IF(D92=0,0))</f>
        <v>1E-3</v>
      </c>
      <c r="L92" s="259">
        <f t="shared" si="20"/>
        <v>1E-3</v>
      </c>
    </row>
    <row r="93" spans="1:13" ht="18" customHeight="1">
      <c r="A93" s="120" t="s">
        <v>19</v>
      </c>
      <c r="B93" s="73" t="s">
        <v>65</v>
      </c>
      <c r="C93" s="114" t="s">
        <v>36</v>
      </c>
      <c r="D93" s="152">
        <v>1</v>
      </c>
      <c r="E93" s="126">
        <f t="shared" si="17"/>
        <v>147.15334291519446</v>
      </c>
      <c r="F93" s="109"/>
      <c r="G93" s="101">
        <f t="shared" si="18"/>
        <v>44.733104396805572</v>
      </c>
      <c r="H93" s="119"/>
      <c r="I93" s="126">
        <f t="shared" si="19"/>
        <v>191.88644731200003</v>
      </c>
      <c r="J93" s="67"/>
      <c r="K93" s="117">
        <f>IF(D93=1,0.05%,IF(D93=0,0))</f>
        <v>5.0000000000000001E-4</v>
      </c>
      <c r="L93" s="259">
        <f t="shared" si="20"/>
        <v>5.0000000000000001E-4</v>
      </c>
    </row>
    <row r="94" spans="1:13" ht="18" customHeight="1">
      <c r="A94" s="120" t="s">
        <v>45</v>
      </c>
      <c r="B94" s="72" t="s">
        <v>66</v>
      </c>
      <c r="C94" s="114" t="s">
        <v>36</v>
      </c>
      <c r="D94" s="152">
        <v>1</v>
      </c>
      <c r="E94" s="126">
        <f t="shared" si="17"/>
        <v>2943.0668583038891</v>
      </c>
      <c r="F94" s="108"/>
      <c r="G94" s="101">
        <f t="shared" si="18"/>
        <v>894.66208793611167</v>
      </c>
      <c r="H94" s="118"/>
      <c r="I94" s="126">
        <f t="shared" si="19"/>
        <v>3837.7289462400008</v>
      </c>
      <c r="J94" s="65"/>
      <c r="K94" s="117">
        <f>IF(D94=1,1%,IF(D94=0,0))</f>
        <v>0.01</v>
      </c>
      <c r="L94" s="259">
        <f t="shared" si="20"/>
        <v>0.01</v>
      </c>
      <c r="M94" s="22"/>
    </row>
    <row r="95" spans="1:13" ht="18" customHeight="1">
      <c r="A95" s="120" t="s">
        <v>86</v>
      </c>
      <c r="B95" s="73" t="s">
        <v>67</v>
      </c>
      <c r="C95" s="114" t="s">
        <v>36</v>
      </c>
      <c r="D95" s="152">
        <v>1</v>
      </c>
      <c r="E95" s="126">
        <f t="shared" si="17"/>
        <v>8829.200574911667</v>
      </c>
      <c r="F95" s="109"/>
      <c r="G95" s="101">
        <f t="shared" si="18"/>
        <v>2683.9862638083341</v>
      </c>
      <c r="H95" s="119"/>
      <c r="I95" s="126">
        <f t="shared" si="19"/>
        <v>11513.186838720001</v>
      </c>
      <c r="J95" s="67"/>
      <c r="K95" s="117">
        <f>IF(D95=1,3%,IF(D95=0,0))</f>
        <v>0.03</v>
      </c>
      <c r="L95" s="259">
        <f t="shared" si="20"/>
        <v>0.03</v>
      </c>
    </row>
    <row r="96" spans="1:13" ht="18" customHeight="1">
      <c r="A96" s="120" t="s">
        <v>46</v>
      </c>
      <c r="B96" s="72" t="s">
        <v>68</v>
      </c>
      <c r="C96" s="114" t="s">
        <v>36</v>
      </c>
      <c r="D96" s="152">
        <v>1</v>
      </c>
      <c r="E96" s="126">
        <f t="shared" si="17"/>
        <v>1471.5334291519446</v>
      </c>
      <c r="F96" s="108"/>
      <c r="G96" s="101">
        <f t="shared" si="18"/>
        <v>447.33104396805584</v>
      </c>
      <c r="H96" s="118"/>
      <c r="I96" s="126">
        <f t="shared" si="19"/>
        <v>1918.8644731200004</v>
      </c>
      <c r="J96" s="65"/>
      <c r="K96" s="117">
        <f>IF(D96=1,0.5%,IF(D96=0,0))</f>
        <v>5.0000000000000001E-3</v>
      </c>
      <c r="L96" s="259">
        <f t="shared" si="20"/>
        <v>5.0000000000000001E-3</v>
      </c>
    </row>
    <row r="97" spans="1:12" ht="18" customHeight="1">
      <c r="A97" s="120" t="s">
        <v>1</v>
      </c>
      <c r="B97" s="73" t="s">
        <v>239</v>
      </c>
      <c r="C97" s="114" t="s">
        <v>36</v>
      </c>
      <c r="D97" s="152">
        <v>1</v>
      </c>
      <c r="E97" s="126">
        <f t="shared" si="17"/>
        <v>1471.5334291519446</v>
      </c>
      <c r="F97" s="109"/>
      <c r="G97" s="101">
        <f t="shared" si="18"/>
        <v>447.33104396805584</v>
      </c>
      <c r="H97" s="119"/>
      <c r="I97" s="126">
        <f t="shared" si="19"/>
        <v>1918.8644731200004</v>
      </c>
      <c r="J97" s="67"/>
      <c r="K97" s="117">
        <f t="shared" ref="K97:K98" si="21">IF(D97=1,0.5%,IF(D97=0,0))</f>
        <v>5.0000000000000001E-3</v>
      </c>
      <c r="L97" s="259">
        <f t="shared" si="20"/>
        <v>5.0000000000000001E-3</v>
      </c>
    </row>
    <row r="98" spans="1:12" ht="18" customHeight="1">
      <c r="A98" s="120" t="s">
        <v>137</v>
      </c>
      <c r="B98" s="64" t="s">
        <v>69</v>
      </c>
      <c r="C98" s="114" t="s">
        <v>36</v>
      </c>
      <c r="D98" s="152">
        <v>1</v>
      </c>
      <c r="E98" s="126">
        <f t="shared" si="17"/>
        <v>1471.5334291519446</v>
      </c>
      <c r="F98" s="108"/>
      <c r="G98" s="101">
        <f t="shared" si="18"/>
        <v>447.33104396805584</v>
      </c>
      <c r="H98" s="118"/>
      <c r="I98" s="126">
        <f t="shared" si="19"/>
        <v>1918.8644731200004</v>
      </c>
      <c r="J98" s="65"/>
      <c r="K98" s="117">
        <f t="shared" si="21"/>
        <v>5.0000000000000001E-3</v>
      </c>
      <c r="L98" s="259">
        <f t="shared" si="20"/>
        <v>5.0000000000000001E-3</v>
      </c>
    </row>
    <row r="99" spans="1:12" ht="18" customHeight="1">
      <c r="A99" s="120" t="s">
        <v>138</v>
      </c>
      <c r="B99" s="66" t="s">
        <v>242</v>
      </c>
      <c r="C99" s="114" t="s">
        <v>36</v>
      </c>
      <c r="D99" s="152">
        <v>1</v>
      </c>
      <c r="E99" s="126">
        <f t="shared" si="17"/>
        <v>735.76671457597229</v>
      </c>
      <c r="F99" s="109"/>
      <c r="G99" s="101">
        <f t="shared" si="18"/>
        <v>223.66552198402792</v>
      </c>
      <c r="H99" s="119"/>
      <c r="I99" s="126">
        <f t="shared" si="19"/>
        <v>959.43223656000021</v>
      </c>
      <c r="J99" s="67"/>
      <c r="K99" s="117">
        <f>IF(D99=1,0.25%,IF(D99=0,0))</f>
        <v>2.5000000000000001E-3</v>
      </c>
      <c r="L99" s="259">
        <f t="shared" si="20"/>
        <v>2.5000000000000001E-3</v>
      </c>
    </row>
    <row r="100" spans="1:12" ht="18" customHeight="1">
      <c r="A100" s="120" t="s">
        <v>139</v>
      </c>
      <c r="B100" s="64" t="s">
        <v>70</v>
      </c>
      <c r="C100" s="114" t="s">
        <v>36</v>
      </c>
      <c r="D100" s="152">
        <v>1</v>
      </c>
      <c r="E100" s="126">
        <f t="shared" si="17"/>
        <v>2943.0668583038891</v>
      </c>
      <c r="F100" s="108"/>
      <c r="G100" s="101">
        <f t="shared" si="18"/>
        <v>894.66208793611167</v>
      </c>
      <c r="H100" s="118"/>
      <c r="I100" s="126">
        <f t="shared" si="19"/>
        <v>3837.7289462400008</v>
      </c>
      <c r="J100" s="65"/>
      <c r="K100" s="117">
        <f>IF(D100=1,1%,IF(D100=0,0))</f>
        <v>0.01</v>
      </c>
      <c r="L100" s="259">
        <f t="shared" si="20"/>
        <v>0.01</v>
      </c>
    </row>
    <row r="101" spans="1:12" ht="18" customHeight="1">
      <c r="A101" s="120" t="s">
        <v>140</v>
      </c>
      <c r="B101" s="66" t="s">
        <v>71</v>
      </c>
      <c r="C101" s="114" t="s">
        <v>36</v>
      </c>
      <c r="D101" s="152">
        <v>1</v>
      </c>
      <c r="E101" s="126">
        <f t="shared" si="17"/>
        <v>2943.0668583038891</v>
      </c>
      <c r="F101" s="109"/>
      <c r="G101" s="101">
        <f t="shared" si="18"/>
        <v>894.66208793611167</v>
      </c>
      <c r="H101" s="119"/>
      <c r="I101" s="126">
        <f t="shared" si="19"/>
        <v>3837.7289462400008</v>
      </c>
      <c r="J101" s="67"/>
      <c r="K101" s="117">
        <f>IF(D101=1,1%,IF(D101=0,0))</f>
        <v>0.01</v>
      </c>
      <c r="L101" s="259">
        <f t="shared" si="20"/>
        <v>0.01</v>
      </c>
    </row>
    <row r="102" spans="1:12" ht="18" customHeight="1">
      <c r="A102" s="120" t="s">
        <v>141</v>
      </c>
      <c r="B102" s="64" t="s">
        <v>72</v>
      </c>
      <c r="C102" s="114" t="s">
        <v>36</v>
      </c>
      <c r="D102" s="152">
        <v>1</v>
      </c>
      <c r="E102" s="126">
        <f t="shared" si="17"/>
        <v>882.92005749116674</v>
      </c>
      <c r="F102" s="108"/>
      <c r="G102" s="101">
        <f t="shared" si="18"/>
        <v>268.39862638083355</v>
      </c>
      <c r="H102" s="118"/>
      <c r="I102" s="126">
        <f t="shared" si="19"/>
        <v>1151.3186838720003</v>
      </c>
      <c r="J102" s="65"/>
      <c r="K102" s="117">
        <f>IF(D102=1,0.3%,IF(D102=0,0))</f>
        <v>3.0000000000000001E-3</v>
      </c>
      <c r="L102" s="259">
        <f t="shared" si="20"/>
        <v>3.0000000000000001E-3</v>
      </c>
    </row>
    <row r="103" spans="1:12" ht="18" customHeight="1">
      <c r="A103" s="120" t="s">
        <v>142</v>
      </c>
      <c r="B103" s="66" t="s">
        <v>73</v>
      </c>
      <c r="C103" s="114" t="s">
        <v>36</v>
      </c>
      <c r="D103" s="152">
        <v>1</v>
      </c>
      <c r="E103" s="126">
        <f t="shared" si="17"/>
        <v>1030.0734004063611</v>
      </c>
      <c r="F103" s="109"/>
      <c r="G103" s="101">
        <f t="shared" si="18"/>
        <v>313.13173077763895</v>
      </c>
      <c r="H103" s="119"/>
      <c r="I103" s="126">
        <f t="shared" si="19"/>
        <v>1343.205131184</v>
      </c>
      <c r="J103" s="67"/>
      <c r="K103" s="117">
        <f>IF(D103=1,0.35%,IF(D103=0,0))</f>
        <v>3.4999999999999996E-3</v>
      </c>
      <c r="L103" s="259">
        <f t="shared" si="20"/>
        <v>3.4999999999999996E-3</v>
      </c>
    </row>
    <row r="104" spans="1:12" ht="18" customHeight="1">
      <c r="A104" s="120" t="s">
        <v>143</v>
      </c>
      <c r="B104" s="72" t="s">
        <v>74</v>
      </c>
      <c r="C104" s="114" t="s">
        <v>36</v>
      </c>
      <c r="D104" s="152">
        <v>1</v>
      </c>
      <c r="E104" s="126">
        <f t="shared" si="17"/>
        <v>1471.5334291519446</v>
      </c>
      <c r="F104" s="108"/>
      <c r="G104" s="101">
        <f t="shared" si="18"/>
        <v>447.33104396805584</v>
      </c>
      <c r="H104" s="118"/>
      <c r="I104" s="126">
        <f t="shared" si="19"/>
        <v>1918.8644731200004</v>
      </c>
      <c r="J104" s="65"/>
      <c r="K104" s="117">
        <f>IF(D104=1,0.5%,IF(D104=0,0))</f>
        <v>5.0000000000000001E-3</v>
      </c>
      <c r="L104" s="259">
        <f t="shared" si="20"/>
        <v>5.0000000000000001E-3</v>
      </c>
    </row>
    <row r="105" spans="1:12" ht="18" customHeight="1">
      <c r="A105" s="120" t="s">
        <v>144</v>
      </c>
      <c r="B105" s="73" t="s">
        <v>240</v>
      </c>
      <c r="C105" s="114" t="s">
        <v>36</v>
      </c>
      <c r="D105" s="152">
        <v>1</v>
      </c>
      <c r="E105" s="126">
        <f t="shared" si="17"/>
        <v>1471.5334291519446</v>
      </c>
      <c r="F105" s="109"/>
      <c r="G105" s="101">
        <f t="shared" si="18"/>
        <v>447.33104396805584</v>
      </c>
      <c r="H105" s="119"/>
      <c r="I105" s="126">
        <f t="shared" si="19"/>
        <v>1918.8644731200004</v>
      </c>
      <c r="J105" s="67"/>
      <c r="K105" s="117">
        <f>IF(D105=1,0.5%,IF(D105=0,0))</f>
        <v>5.0000000000000001E-3</v>
      </c>
      <c r="L105" s="259">
        <f t="shared" si="20"/>
        <v>5.0000000000000001E-3</v>
      </c>
    </row>
    <row r="106" spans="1:12" ht="18" customHeight="1">
      <c r="A106" s="120" t="s">
        <v>145</v>
      </c>
      <c r="B106" s="34" t="s">
        <v>75</v>
      </c>
      <c r="C106" s="114" t="s">
        <v>36</v>
      </c>
      <c r="D106" s="152">
        <v>1</v>
      </c>
      <c r="E106" s="126">
        <f t="shared" si="17"/>
        <v>2207.3001437279167</v>
      </c>
      <c r="F106" s="108"/>
      <c r="G106" s="101">
        <f t="shared" si="18"/>
        <v>670.99656595208353</v>
      </c>
      <c r="H106" s="118"/>
      <c r="I106" s="126">
        <f t="shared" si="19"/>
        <v>2878.2967096800003</v>
      </c>
      <c r="J106" s="65"/>
      <c r="K106" s="117">
        <f>IF(D106=1,0.75%,IF(D106=0,0))</f>
        <v>7.4999999999999997E-3</v>
      </c>
      <c r="L106" s="259">
        <f t="shared" si="20"/>
        <v>7.4999999999999997E-3</v>
      </c>
    </row>
    <row r="107" spans="1:12" ht="18" customHeight="1">
      <c r="A107" s="120" t="s">
        <v>146</v>
      </c>
      <c r="B107" s="27" t="s">
        <v>76</v>
      </c>
      <c r="C107" s="114" t="s">
        <v>36</v>
      </c>
      <c r="D107" s="152">
        <v>1</v>
      </c>
      <c r="E107" s="126">
        <f t="shared" si="17"/>
        <v>2354.4534866431113</v>
      </c>
      <c r="F107" s="109"/>
      <c r="G107" s="101">
        <f t="shared" si="18"/>
        <v>715.72967034888916</v>
      </c>
      <c r="H107" s="119"/>
      <c r="I107" s="126">
        <f t="shared" si="19"/>
        <v>3070.1831569920005</v>
      </c>
      <c r="J107" s="67"/>
      <c r="K107" s="117">
        <f>IF(D107=1,0.8%,IF(D107=0,0))</f>
        <v>8.0000000000000002E-3</v>
      </c>
      <c r="L107" s="259">
        <f t="shared" si="20"/>
        <v>8.0000000000000002E-3</v>
      </c>
    </row>
    <row r="108" spans="1:12" ht="18" customHeight="1">
      <c r="A108" s="120" t="s">
        <v>147</v>
      </c>
      <c r="B108" s="72" t="s">
        <v>77</v>
      </c>
      <c r="C108" s="114" t="s">
        <v>36</v>
      </c>
      <c r="D108" s="152">
        <v>1</v>
      </c>
      <c r="E108" s="126">
        <f t="shared" si="17"/>
        <v>1471.5334291519446</v>
      </c>
      <c r="F108" s="108"/>
      <c r="G108" s="101">
        <f t="shared" si="18"/>
        <v>447.33104396805584</v>
      </c>
      <c r="H108" s="118"/>
      <c r="I108" s="126">
        <f t="shared" si="19"/>
        <v>1918.8644731200004</v>
      </c>
      <c r="J108" s="65"/>
      <c r="K108" s="117">
        <f>IF(D108=1,0.5%,IF(D108=0,0))</f>
        <v>5.0000000000000001E-3</v>
      </c>
      <c r="L108" s="259">
        <f t="shared" si="20"/>
        <v>5.0000000000000001E-3</v>
      </c>
    </row>
    <row r="109" spans="1:12" ht="18" customHeight="1">
      <c r="A109" s="120" t="s">
        <v>148</v>
      </c>
      <c r="B109" s="73" t="s">
        <v>78</v>
      </c>
      <c r="C109" s="114" t="s">
        <v>36</v>
      </c>
      <c r="D109" s="152">
        <v>1</v>
      </c>
      <c r="E109" s="126">
        <f t="shared" si="17"/>
        <v>882.92005749116674</v>
      </c>
      <c r="F109" s="109"/>
      <c r="G109" s="101">
        <f t="shared" si="18"/>
        <v>268.39862638083355</v>
      </c>
      <c r="H109" s="119"/>
      <c r="I109" s="126">
        <f t="shared" si="19"/>
        <v>1151.3186838720003</v>
      </c>
      <c r="J109" s="67"/>
      <c r="K109" s="117">
        <f>IF(D109=1,0.3%,IF(D109=0,0))</f>
        <v>3.0000000000000001E-3</v>
      </c>
      <c r="L109" s="259">
        <f t="shared" si="20"/>
        <v>3.0000000000000001E-3</v>
      </c>
    </row>
    <row r="110" spans="1:12" ht="18" customHeight="1">
      <c r="A110" s="120" t="s">
        <v>149</v>
      </c>
      <c r="B110" s="72" t="s">
        <v>108</v>
      </c>
      <c r="C110" s="114" t="s">
        <v>36</v>
      </c>
      <c r="D110" s="152">
        <v>1</v>
      </c>
      <c r="E110" s="126">
        <f t="shared" si="17"/>
        <v>147.15334291519446</v>
      </c>
      <c r="F110" s="108"/>
      <c r="G110" s="101">
        <f t="shared" si="18"/>
        <v>44.733104396805572</v>
      </c>
      <c r="H110" s="118"/>
      <c r="I110" s="126">
        <f t="shared" si="19"/>
        <v>191.88644731200003</v>
      </c>
      <c r="J110" s="65"/>
      <c r="K110" s="117">
        <f>IF(D110=1,0.05%,IF(D110=0,0))</f>
        <v>5.0000000000000001E-4</v>
      </c>
      <c r="L110" s="259">
        <f t="shared" si="20"/>
        <v>5.0000000000000001E-4</v>
      </c>
    </row>
    <row r="111" spans="1:12" ht="18" customHeight="1">
      <c r="A111" s="120" t="s">
        <v>150</v>
      </c>
      <c r="B111" s="73" t="s">
        <v>79</v>
      </c>
      <c r="C111" s="114" t="s">
        <v>36</v>
      </c>
      <c r="D111" s="152">
        <v>1</v>
      </c>
      <c r="E111" s="126">
        <f t="shared" si="17"/>
        <v>147.15334291519446</v>
      </c>
      <c r="F111" s="109"/>
      <c r="G111" s="101">
        <f t="shared" si="18"/>
        <v>44.733104396805572</v>
      </c>
      <c r="H111" s="119"/>
      <c r="I111" s="126">
        <f t="shared" si="19"/>
        <v>191.88644731200003</v>
      </c>
      <c r="J111" s="67"/>
      <c r="K111" s="117">
        <f t="shared" ref="K111:K114" si="22">IF(D111=1,0.05%,IF(D111=0,0))</f>
        <v>5.0000000000000001E-4</v>
      </c>
      <c r="L111" s="259">
        <f t="shared" si="20"/>
        <v>5.0000000000000001E-4</v>
      </c>
    </row>
    <row r="112" spans="1:12" ht="18" customHeight="1">
      <c r="A112" s="120" t="s">
        <v>151</v>
      </c>
      <c r="B112" s="72" t="s">
        <v>80</v>
      </c>
      <c r="C112" s="114" t="s">
        <v>36</v>
      </c>
      <c r="D112" s="152">
        <v>1</v>
      </c>
      <c r="E112" s="126">
        <f t="shared" si="17"/>
        <v>147.15334291519446</v>
      </c>
      <c r="F112" s="108"/>
      <c r="G112" s="101">
        <f t="shared" si="18"/>
        <v>44.733104396805572</v>
      </c>
      <c r="H112" s="118"/>
      <c r="I112" s="126">
        <f t="shared" si="19"/>
        <v>191.88644731200003</v>
      </c>
      <c r="J112" s="65"/>
      <c r="K112" s="117">
        <f t="shared" si="22"/>
        <v>5.0000000000000001E-4</v>
      </c>
      <c r="L112" s="259">
        <f t="shared" si="20"/>
        <v>5.0000000000000001E-4</v>
      </c>
    </row>
    <row r="113" spans="1:12" ht="18" customHeight="1">
      <c r="A113" s="120" t="s">
        <v>152</v>
      </c>
      <c r="B113" s="73" t="s">
        <v>81</v>
      </c>
      <c r="C113" s="114" t="s">
        <v>36</v>
      </c>
      <c r="D113" s="152">
        <v>1</v>
      </c>
      <c r="E113" s="126">
        <f t="shared" si="17"/>
        <v>147.15334291519446</v>
      </c>
      <c r="F113" s="109"/>
      <c r="G113" s="101">
        <f t="shared" si="18"/>
        <v>44.733104396805572</v>
      </c>
      <c r="H113" s="119"/>
      <c r="I113" s="126">
        <f t="shared" si="19"/>
        <v>191.88644731200003</v>
      </c>
      <c r="J113" s="67"/>
      <c r="K113" s="117">
        <f t="shared" si="22"/>
        <v>5.0000000000000001E-4</v>
      </c>
      <c r="L113" s="259">
        <f t="shared" si="20"/>
        <v>5.0000000000000001E-4</v>
      </c>
    </row>
    <row r="114" spans="1:12" ht="18" customHeight="1">
      <c r="A114" s="120" t="s">
        <v>153</v>
      </c>
      <c r="B114" s="64" t="s">
        <v>54</v>
      </c>
      <c r="C114" s="114" t="s">
        <v>36</v>
      </c>
      <c r="D114" s="152">
        <v>1</v>
      </c>
      <c r="E114" s="126">
        <f t="shared" si="17"/>
        <v>147.15334291519446</v>
      </c>
      <c r="F114" s="108"/>
      <c r="G114" s="101">
        <f t="shared" si="18"/>
        <v>44.733104396805572</v>
      </c>
      <c r="H114" s="118"/>
      <c r="I114" s="126">
        <f t="shared" si="19"/>
        <v>191.88644731200003</v>
      </c>
      <c r="J114" s="65"/>
      <c r="K114" s="117">
        <f t="shared" si="22"/>
        <v>5.0000000000000001E-4</v>
      </c>
      <c r="L114" s="259">
        <f t="shared" si="20"/>
        <v>5.0000000000000001E-4</v>
      </c>
    </row>
    <row r="115" spans="1:12" ht="18" customHeight="1">
      <c r="A115" s="122" t="s">
        <v>153</v>
      </c>
      <c r="B115" s="73" t="s">
        <v>170</v>
      </c>
      <c r="C115" s="114" t="s">
        <v>36</v>
      </c>
      <c r="D115" s="152">
        <v>1</v>
      </c>
      <c r="E115" s="126">
        <f t="shared" si="17"/>
        <v>735.76671457597229</v>
      </c>
      <c r="F115" s="109"/>
      <c r="G115" s="101">
        <f t="shared" si="18"/>
        <v>223.66552198402792</v>
      </c>
      <c r="H115" s="119"/>
      <c r="I115" s="126">
        <f t="shared" si="19"/>
        <v>959.43223656000021</v>
      </c>
      <c r="J115" s="67"/>
      <c r="K115" s="117">
        <f>IF(D115=1,0.25%,IF(D115=0,0))</f>
        <v>2.5000000000000001E-3</v>
      </c>
      <c r="L115" s="259">
        <f t="shared" si="20"/>
        <v>2.5000000000000001E-3</v>
      </c>
    </row>
    <row r="116" spans="1:12" ht="18" customHeight="1">
      <c r="A116" s="122" t="s">
        <v>164</v>
      </c>
      <c r="B116" s="64" t="s">
        <v>169</v>
      </c>
      <c r="C116" s="114" t="s">
        <v>36</v>
      </c>
      <c r="D116" s="152">
        <v>1</v>
      </c>
      <c r="E116" s="126">
        <f t="shared" si="17"/>
        <v>1471.5334291519446</v>
      </c>
      <c r="F116" s="108"/>
      <c r="G116" s="101">
        <f t="shared" si="18"/>
        <v>447.33104396805584</v>
      </c>
      <c r="H116" s="118"/>
      <c r="I116" s="126">
        <f t="shared" si="19"/>
        <v>1918.8644731200004</v>
      </c>
      <c r="J116" s="65"/>
      <c r="K116" s="117">
        <f>IF(D116=1,0.5%,IF(D116=0,0))</f>
        <v>5.0000000000000001E-3</v>
      </c>
      <c r="L116" s="259">
        <f t="shared" si="20"/>
        <v>5.0000000000000001E-3</v>
      </c>
    </row>
    <row r="117" spans="1:12" ht="18" customHeight="1">
      <c r="A117" s="122" t="s">
        <v>165</v>
      </c>
      <c r="B117" s="66" t="s">
        <v>163</v>
      </c>
      <c r="C117" s="114" t="s">
        <v>36</v>
      </c>
      <c r="D117" s="152">
        <v>1</v>
      </c>
      <c r="E117" s="126">
        <f t="shared" si="17"/>
        <v>735.76671457597229</v>
      </c>
      <c r="F117" s="109"/>
      <c r="G117" s="101">
        <f t="shared" si="18"/>
        <v>223.66552198402792</v>
      </c>
      <c r="H117" s="119"/>
      <c r="I117" s="126">
        <f t="shared" si="19"/>
        <v>959.43223656000021</v>
      </c>
      <c r="J117" s="67"/>
      <c r="K117" s="117">
        <f>IF(D117=1,0.25%,IF(D117=0,0))</f>
        <v>2.5000000000000001E-3</v>
      </c>
      <c r="L117" s="259">
        <f t="shared" si="20"/>
        <v>2.5000000000000001E-3</v>
      </c>
    </row>
    <row r="118" spans="1:12" ht="18" customHeight="1">
      <c r="A118" s="122" t="s">
        <v>166</v>
      </c>
      <c r="B118" s="64" t="s">
        <v>82</v>
      </c>
      <c r="C118" s="114" t="s">
        <v>36</v>
      </c>
      <c r="D118" s="152">
        <v>1</v>
      </c>
      <c r="E118" s="126">
        <f t="shared" si="17"/>
        <v>735.76671457597229</v>
      </c>
      <c r="F118" s="108"/>
      <c r="G118" s="101">
        <f t="shared" si="18"/>
        <v>223.66552198402792</v>
      </c>
      <c r="H118" s="118"/>
      <c r="I118" s="126">
        <f t="shared" si="19"/>
        <v>959.43223656000021</v>
      </c>
      <c r="J118" s="65"/>
      <c r="K118" s="117">
        <f>IF(D118=1,0.25%,IF(D118=0,0))</f>
        <v>2.5000000000000001E-3</v>
      </c>
      <c r="L118" s="259">
        <f t="shared" si="20"/>
        <v>2.5000000000000001E-3</v>
      </c>
    </row>
    <row r="119" spans="1:12" ht="18" customHeight="1">
      <c r="A119" s="120" t="s">
        <v>167</v>
      </c>
      <c r="B119" s="66" t="s">
        <v>53</v>
      </c>
      <c r="C119" s="114" t="s">
        <v>36</v>
      </c>
      <c r="D119" s="152">
        <v>1</v>
      </c>
      <c r="E119" s="126">
        <f t="shared" si="17"/>
        <v>147.15334291519446</v>
      </c>
      <c r="F119" s="109"/>
      <c r="G119" s="101">
        <f t="shared" si="18"/>
        <v>44.733104396805572</v>
      </c>
      <c r="H119" s="119"/>
      <c r="I119" s="126">
        <f t="shared" si="19"/>
        <v>191.88644731200003</v>
      </c>
      <c r="J119" s="67"/>
      <c r="K119" s="117">
        <f>IF(D119=1,0.05%,IF(D119=0,0))</f>
        <v>5.0000000000000001E-4</v>
      </c>
      <c r="L119" s="259">
        <f t="shared" si="20"/>
        <v>5.0000000000000001E-4</v>
      </c>
    </row>
    <row r="120" spans="1:12" ht="18" customHeight="1">
      <c r="A120" s="120" t="s">
        <v>168</v>
      </c>
      <c r="B120" s="64" t="s">
        <v>55</v>
      </c>
      <c r="C120" s="114" t="s">
        <v>36</v>
      </c>
      <c r="D120" s="152">
        <v>1</v>
      </c>
      <c r="E120" s="126">
        <f t="shared" si="17"/>
        <v>147.15334291519446</v>
      </c>
      <c r="F120" s="108"/>
      <c r="G120" s="101">
        <f t="shared" si="18"/>
        <v>44.733104396805572</v>
      </c>
      <c r="H120" s="118"/>
      <c r="I120" s="126">
        <f t="shared" si="19"/>
        <v>191.88644731200003</v>
      </c>
      <c r="J120" s="65"/>
      <c r="K120" s="117">
        <f>IF(D120=1,0.05%,IF(D120=0,0))</f>
        <v>5.0000000000000001E-4</v>
      </c>
      <c r="L120" s="259">
        <f t="shared" si="20"/>
        <v>5.0000000000000001E-4</v>
      </c>
    </row>
    <row r="121" spans="1:12" ht="18" customHeight="1">
      <c r="A121" s="120" t="s">
        <v>186</v>
      </c>
      <c r="B121" s="66" t="s">
        <v>187</v>
      </c>
      <c r="C121" s="114" t="s">
        <v>36</v>
      </c>
      <c r="D121" s="152">
        <v>1</v>
      </c>
      <c r="E121" s="126">
        <f t="shared" si="17"/>
        <v>1471.5334291519446</v>
      </c>
      <c r="F121" s="109"/>
      <c r="G121" s="101">
        <f t="shared" si="18"/>
        <v>447.33104396805584</v>
      </c>
      <c r="H121" s="119"/>
      <c r="I121" s="126">
        <f t="shared" si="19"/>
        <v>1918.8644731200004</v>
      </c>
      <c r="J121" s="67"/>
      <c r="K121" s="117">
        <f>IF(D121=1,0.5%,IF(D121=0,0))</f>
        <v>5.0000000000000001E-3</v>
      </c>
      <c r="L121" s="259">
        <f t="shared" si="20"/>
        <v>5.0000000000000001E-3</v>
      </c>
    </row>
    <row r="122" spans="1:12" ht="18" customHeight="1">
      <c r="A122" s="9"/>
      <c r="B122" s="29"/>
      <c r="C122" s="10"/>
      <c r="D122" s="11"/>
      <c r="E122" s="12"/>
      <c r="F122" s="12"/>
      <c r="G122" s="12"/>
      <c r="H122" s="12"/>
      <c r="I122" s="12"/>
      <c r="J122" s="12"/>
      <c r="K122" s="13"/>
    </row>
    <row r="123" spans="1:12" ht="18" customHeight="1">
      <c r="A123" s="111" t="s">
        <v>25</v>
      </c>
      <c r="B123" s="111" t="s">
        <v>158</v>
      </c>
      <c r="C123" s="111"/>
      <c r="D123" s="112"/>
      <c r="E123" s="273">
        <f>SUM(E124:E129)</f>
        <v>29430.668583038892</v>
      </c>
      <c r="F123" s="274"/>
      <c r="G123" s="273">
        <f>I123-E123</f>
        <v>8946.6208793611186</v>
      </c>
      <c r="H123" s="274"/>
      <c r="I123" s="284">
        <f>SUM(I124:I129)</f>
        <v>38377.289462400011</v>
      </c>
      <c r="J123" s="272"/>
      <c r="K123" s="71">
        <f>SUM(K124:K129)</f>
        <v>0.1</v>
      </c>
      <c r="L123" s="116">
        <f>SUM(L124:L129)</f>
        <v>0.1</v>
      </c>
    </row>
    <row r="124" spans="1:12" ht="18" customHeight="1">
      <c r="A124" s="113" t="s">
        <v>20</v>
      </c>
      <c r="B124" s="115" t="s">
        <v>57</v>
      </c>
      <c r="C124" s="114" t="s">
        <v>36</v>
      </c>
      <c r="D124" s="152">
        <v>1</v>
      </c>
      <c r="E124" s="126">
        <f t="shared" ref="E124:E129" si="23">(I124/(1+$G$19))</f>
        <v>735.76671457597229</v>
      </c>
      <c r="F124" s="108"/>
      <c r="G124" s="101">
        <f t="shared" ref="G124:G129" si="24">I124-E124</f>
        <v>223.66552198402792</v>
      </c>
      <c r="H124" s="104"/>
      <c r="I124" s="126">
        <f t="shared" ref="I124:I129" si="25">L124*$K$19</f>
        <v>959.43223656000021</v>
      </c>
      <c r="J124" s="108"/>
      <c r="K124" s="270">
        <f>IF(D124=1,0.25%,IF(D124=0,0))</f>
        <v>2.5000000000000001E-3</v>
      </c>
      <c r="L124" s="259">
        <f t="shared" ref="L124:L129" si="26">K124</f>
        <v>2.5000000000000001E-3</v>
      </c>
    </row>
    <row r="125" spans="1:12" ht="18" customHeight="1">
      <c r="A125" s="113" t="s">
        <v>2</v>
      </c>
      <c r="B125" s="115" t="s">
        <v>155</v>
      </c>
      <c r="C125" s="114" t="s">
        <v>36</v>
      </c>
      <c r="D125" s="152">
        <v>1</v>
      </c>
      <c r="E125" s="126">
        <f t="shared" si="23"/>
        <v>735.76671457597229</v>
      </c>
      <c r="F125" s="109"/>
      <c r="G125" s="101">
        <f t="shared" si="24"/>
        <v>223.66552198402792</v>
      </c>
      <c r="H125" s="105"/>
      <c r="I125" s="126">
        <f t="shared" si="25"/>
        <v>959.43223656000021</v>
      </c>
      <c r="J125" s="109"/>
      <c r="K125" s="270">
        <f>IF(D125=1,0.25%,IF(D125=0,0))</f>
        <v>2.5000000000000001E-3</v>
      </c>
      <c r="L125" s="259">
        <f t="shared" si="26"/>
        <v>2.5000000000000001E-3</v>
      </c>
    </row>
    <row r="126" spans="1:12" ht="18" customHeight="1">
      <c r="A126" s="113" t="s">
        <v>87</v>
      </c>
      <c r="B126" s="115" t="s">
        <v>58</v>
      </c>
      <c r="C126" s="114" t="s">
        <v>36</v>
      </c>
      <c r="D126" s="152">
        <v>1</v>
      </c>
      <c r="E126" s="126">
        <f t="shared" si="23"/>
        <v>14715.334291519446</v>
      </c>
      <c r="F126" s="108"/>
      <c r="G126" s="101">
        <f t="shared" si="24"/>
        <v>4473.3104396805593</v>
      </c>
      <c r="H126" s="104"/>
      <c r="I126" s="126">
        <f t="shared" si="25"/>
        <v>19188.644731200005</v>
      </c>
      <c r="J126" s="108"/>
      <c r="K126" s="270">
        <f>IF(D126=1,5%,IF(D126=0,0))</f>
        <v>0.05</v>
      </c>
      <c r="L126" s="259">
        <f t="shared" si="26"/>
        <v>0.05</v>
      </c>
    </row>
    <row r="127" spans="1:12" ht="18" customHeight="1">
      <c r="A127" s="113" t="s">
        <v>87</v>
      </c>
      <c r="B127" s="115" t="s">
        <v>156</v>
      </c>
      <c r="C127" s="114" t="s">
        <v>36</v>
      </c>
      <c r="D127" s="152">
        <v>1</v>
      </c>
      <c r="E127" s="126">
        <f t="shared" si="23"/>
        <v>5886.1337166077783</v>
      </c>
      <c r="F127" s="109"/>
      <c r="G127" s="101">
        <f t="shared" si="24"/>
        <v>1789.3241758722233</v>
      </c>
      <c r="H127" s="105"/>
      <c r="I127" s="126">
        <f t="shared" si="25"/>
        <v>7675.4578924800016</v>
      </c>
      <c r="J127" s="109"/>
      <c r="K127" s="270">
        <f>IF(D127=1,2%,IF(D127=0,0))</f>
        <v>0.02</v>
      </c>
      <c r="L127" s="259">
        <f t="shared" si="26"/>
        <v>0.02</v>
      </c>
    </row>
    <row r="128" spans="1:12" ht="18" customHeight="1">
      <c r="A128" s="113" t="s">
        <v>35</v>
      </c>
      <c r="B128" s="115" t="s">
        <v>157</v>
      </c>
      <c r="C128" s="114" t="s">
        <v>36</v>
      </c>
      <c r="D128" s="152">
        <v>1</v>
      </c>
      <c r="E128" s="126">
        <f t="shared" si="23"/>
        <v>5886.1337166077783</v>
      </c>
      <c r="F128" s="108"/>
      <c r="G128" s="101">
        <f t="shared" si="24"/>
        <v>1789.3241758722233</v>
      </c>
      <c r="H128" s="104"/>
      <c r="I128" s="126">
        <f t="shared" si="25"/>
        <v>7675.4578924800016</v>
      </c>
      <c r="J128" s="108"/>
      <c r="K128" s="270">
        <f>IF(D128=1,2%,IF(D128=0,0))</f>
        <v>0.02</v>
      </c>
      <c r="L128" s="259">
        <f t="shared" si="26"/>
        <v>0.02</v>
      </c>
    </row>
    <row r="129" spans="1:16" ht="18" customHeight="1">
      <c r="A129" s="113" t="s">
        <v>231</v>
      </c>
      <c r="B129" s="115" t="s">
        <v>83</v>
      </c>
      <c r="C129" s="114" t="s">
        <v>36</v>
      </c>
      <c r="D129" s="152">
        <v>1</v>
      </c>
      <c r="E129" s="126">
        <f t="shared" si="23"/>
        <v>1471.5334291519446</v>
      </c>
      <c r="F129" s="109"/>
      <c r="G129" s="101">
        <f t="shared" si="24"/>
        <v>447.33104396805584</v>
      </c>
      <c r="H129" s="105"/>
      <c r="I129" s="126">
        <f t="shared" si="25"/>
        <v>1918.8644731200004</v>
      </c>
      <c r="J129" s="109"/>
      <c r="K129" s="270">
        <f t="shared" ref="K129" si="27">IF(D129=1,0.5%,IF(D129=0,0))</f>
        <v>5.0000000000000001E-3</v>
      </c>
      <c r="L129" s="259">
        <f t="shared" si="26"/>
        <v>5.0000000000000001E-3</v>
      </c>
    </row>
    <row r="130" spans="1:16" ht="18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6" ht="18" customHeight="1">
      <c r="A131" s="338" t="s">
        <v>254</v>
      </c>
      <c r="B131" s="339"/>
      <c r="C131" s="339"/>
      <c r="D131" s="339"/>
      <c r="E131" s="339"/>
      <c r="F131" s="339"/>
      <c r="G131" s="339"/>
      <c r="H131" s="290"/>
      <c r="I131" s="291">
        <f>I123+I89+I57+I30+I21</f>
        <v>383772.89462400018</v>
      </c>
      <c r="J131" s="292"/>
      <c r="K131" s="293" t="s">
        <v>204</v>
      </c>
      <c r="L131" s="294">
        <f>1-(I131/L12)</f>
        <v>0</v>
      </c>
    </row>
    <row r="132" spans="1:16" ht="18" customHeight="1">
      <c r="A132" s="74"/>
      <c r="B132" s="74"/>
      <c r="C132" s="74"/>
      <c r="D132" s="74"/>
      <c r="E132" s="74"/>
      <c r="F132" s="74"/>
      <c r="G132" s="74"/>
      <c r="H132" s="74"/>
      <c r="I132" s="75"/>
      <c r="J132" s="75"/>
      <c r="K132" s="76"/>
      <c r="L132" s="77"/>
    </row>
    <row r="133" spans="1:16" ht="24" customHeight="1">
      <c r="A133" s="328" t="s">
        <v>26</v>
      </c>
      <c r="B133" s="328" t="s">
        <v>253</v>
      </c>
      <c r="C133" s="328" t="s">
        <v>37</v>
      </c>
      <c r="D133" s="323" t="s">
        <v>7</v>
      </c>
      <c r="E133" s="319" t="s">
        <v>202</v>
      </c>
      <c r="F133" s="320"/>
      <c r="G133" s="317" t="s">
        <v>115</v>
      </c>
      <c r="H133" s="318"/>
      <c r="I133" s="319" t="s">
        <v>233</v>
      </c>
      <c r="J133" s="320"/>
      <c r="K133" s="275" t="s">
        <v>252</v>
      </c>
      <c r="L133" s="323" t="s">
        <v>232</v>
      </c>
    </row>
    <row r="134" spans="1:16" ht="18" customHeight="1">
      <c r="A134" s="328"/>
      <c r="B134" s="329"/>
      <c r="C134" s="328"/>
      <c r="D134" s="323"/>
      <c r="E134" s="321"/>
      <c r="F134" s="322"/>
      <c r="G134" s="324">
        <f>L14</f>
        <v>0.30398972602739716</v>
      </c>
      <c r="H134" s="325"/>
      <c r="I134" s="321"/>
      <c r="J134" s="322"/>
      <c r="K134" s="276">
        <v>16227.11</v>
      </c>
      <c r="L134" s="323"/>
    </row>
    <row r="135" spans="1:16" ht="18" customHeight="1">
      <c r="A135" s="111"/>
      <c r="B135" s="111" t="s">
        <v>262</v>
      </c>
      <c r="C135" s="111"/>
      <c r="D135" s="286"/>
      <c r="E135" s="273">
        <f>E136</f>
        <v>12444.200806271587</v>
      </c>
      <c r="F135" s="274"/>
      <c r="G135" s="273">
        <f>I135-E135</f>
        <v>3782.9091937284138</v>
      </c>
      <c r="H135" s="274"/>
      <c r="I135" s="284">
        <f>I136</f>
        <v>16227.11</v>
      </c>
      <c r="J135" s="272"/>
      <c r="K135" s="71">
        <f>K136</f>
        <v>1</v>
      </c>
      <c r="L135" s="116">
        <f>L136</f>
        <v>1</v>
      </c>
    </row>
    <row r="136" spans="1:16" ht="18" customHeight="1">
      <c r="A136" s="122" t="s">
        <v>250</v>
      </c>
      <c r="B136" s="123" t="s">
        <v>251</v>
      </c>
      <c r="C136" s="114" t="s">
        <v>36</v>
      </c>
      <c r="D136" s="152">
        <v>1</v>
      </c>
      <c r="E136" s="288">
        <f t="shared" ref="E136" si="28">(I136/(1+$G$19))</f>
        <v>12444.200806271587</v>
      </c>
      <c r="F136" s="109"/>
      <c r="G136" s="289">
        <f t="shared" ref="G136" si="29">I136-E136</f>
        <v>3782.9091937284138</v>
      </c>
      <c r="H136" s="119"/>
      <c r="I136" s="288">
        <f>L136*$K$134</f>
        <v>16227.11</v>
      </c>
      <c r="J136" s="109"/>
      <c r="K136" s="117">
        <v>1</v>
      </c>
      <c r="L136" s="259">
        <v>1</v>
      </c>
    </row>
    <row r="137" spans="1:16" ht="18" customHeight="1">
      <c r="A137" s="74"/>
      <c r="B137" s="74"/>
      <c r="C137" s="74"/>
      <c r="D137" s="74"/>
      <c r="E137" s="74"/>
      <c r="F137" s="74"/>
      <c r="G137" s="74"/>
      <c r="H137" s="74"/>
      <c r="I137" s="75"/>
      <c r="J137" s="75"/>
      <c r="K137" s="76"/>
      <c r="L137" s="77"/>
    </row>
    <row r="138" spans="1:16" ht="18" customHeight="1">
      <c r="A138" s="326" t="s">
        <v>246</v>
      </c>
      <c r="B138" s="327"/>
      <c r="C138" s="327"/>
      <c r="D138" s="327"/>
      <c r="E138" s="327"/>
      <c r="F138" s="327"/>
      <c r="G138" s="327"/>
      <c r="H138" s="265"/>
      <c r="I138" s="266">
        <f>I131+I136</f>
        <v>400000.00462400017</v>
      </c>
      <c r="J138" s="267"/>
      <c r="K138" s="268" t="s">
        <v>204</v>
      </c>
      <c r="L138" s="269">
        <f>1-(I138/(L12+K134))</f>
        <v>0</v>
      </c>
    </row>
    <row r="139" spans="1:16" ht="63.6" customHeight="1">
      <c r="A139" s="74"/>
      <c r="B139" s="74"/>
      <c r="C139" s="74"/>
      <c r="D139" s="74"/>
      <c r="E139" s="74"/>
      <c r="F139" s="74"/>
      <c r="G139" s="74"/>
      <c r="H139" s="74"/>
      <c r="I139" s="75"/>
      <c r="J139" s="75"/>
      <c r="K139" s="76"/>
      <c r="L139" s="77"/>
    </row>
    <row r="140" spans="1:16">
      <c r="B140" s="38"/>
      <c r="C140" s="38"/>
      <c r="D140" s="38"/>
      <c r="E140" s="38"/>
      <c r="F140" s="38"/>
      <c r="G140" s="38"/>
      <c r="H140" s="38"/>
      <c r="I140" s="38"/>
      <c r="J140" s="38"/>
      <c r="L140" s="33"/>
      <c r="M140" s="214"/>
      <c r="N140" s="63"/>
      <c r="O140" s="63"/>
    </row>
    <row r="141" spans="1:16">
      <c r="A141" s="34"/>
      <c r="B141" s="38"/>
      <c r="C141" s="38"/>
      <c r="D141" s="38"/>
      <c r="E141" s="38"/>
      <c r="F141" s="38"/>
      <c r="G141" s="38"/>
      <c r="H141" s="38"/>
      <c r="I141" s="38"/>
      <c r="J141" s="38"/>
      <c r="L141" s="33"/>
      <c r="M141" s="63"/>
      <c r="N141" s="63"/>
      <c r="O141" s="63"/>
    </row>
    <row r="142" spans="1:16">
      <c r="H142" s="38"/>
      <c r="I142" s="38"/>
      <c r="J142" s="38"/>
      <c r="L142" s="33"/>
      <c r="M142" s="63"/>
      <c r="N142" s="63"/>
      <c r="O142" s="215"/>
    </row>
    <row r="143" spans="1:16" ht="26.25" customHeight="1">
      <c r="B143" s="34"/>
      <c r="C143" s="34"/>
      <c r="D143" s="35"/>
      <c r="E143" s="35"/>
      <c r="F143" s="35"/>
      <c r="G143" s="35"/>
      <c r="H143" s="38"/>
      <c r="I143" s="38"/>
      <c r="J143" s="38"/>
      <c r="P143" s="260"/>
    </row>
    <row r="144" spans="1:16">
      <c r="P144" s="63"/>
    </row>
    <row r="145" spans="1:16">
      <c r="H145" s="333" t="s">
        <v>230</v>
      </c>
      <c r="I145" s="333"/>
      <c r="J145" s="333"/>
      <c r="K145" s="333"/>
      <c r="L145" s="333"/>
      <c r="P145" s="63"/>
    </row>
    <row r="146" spans="1:16">
      <c r="C146" s="36"/>
      <c r="H146" s="332" t="s">
        <v>214</v>
      </c>
      <c r="I146" s="332"/>
      <c r="J146" s="332"/>
      <c r="K146" s="264">
        <f>L146/$I$131</f>
        <v>0.35149999999999992</v>
      </c>
      <c r="L146" s="227">
        <f>I22+I25+I31+I32+I33+I58+I59+I60+I87+I90+I91+I92+I121</f>
        <v>134896.17246033603</v>
      </c>
      <c r="P146" s="63"/>
    </row>
    <row r="147" spans="1:16">
      <c r="H147" s="332" t="s">
        <v>175</v>
      </c>
      <c r="I147" s="332"/>
      <c r="J147" s="332"/>
      <c r="K147" s="264">
        <f t="shared" ref="K147:K157" si="30">L147/$I$131</f>
        <v>0.19999999999999996</v>
      </c>
      <c r="L147" s="227">
        <f>I35+I36+I37+I62+I63+I64+I94+I95+I96</f>
        <v>76754.578924800022</v>
      </c>
      <c r="P147" s="63"/>
    </row>
    <row r="148" spans="1:16">
      <c r="H148" s="332" t="s">
        <v>176</v>
      </c>
      <c r="I148" s="332"/>
      <c r="J148" s="332"/>
      <c r="K148" s="264">
        <f t="shared" si="30"/>
        <v>8.3499999999999963E-2</v>
      </c>
      <c r="L148" s="227">
        <f>I41+I42+I43+I52+I68+I69+I70+I79+I100+I101+I102+I111</f>
        <v>32045.036701104003</v>
      </c>
      <c r="P148" s="63"/>
    </row>
    <row r="149" spans="1:16" ht="11.25" customHeight="1">
      <c r="H149" s="331" t="s">
        <v>177</v>
      </c>
      <c r="I149" s="331"/>
      <c r="J149" s="331"/>
      <c r="K149" s="264">
        <f t="shared" si="30"/>
        <v>3.8499999999999986E-2</v>
      </c>
      <c r="L149" s="227">
        <f>I71+I72+I103+I104+I44+I45</f>
        <v>14775.256443024002</v>
      </c>
      <c r="P149" s="63"/>
    </row>
    <row r="150" spans="1:16">
      <c r="H150" s="331" t="s">
        <v>178</v>
      </c>
      <c r="I150" s="331"/>
      <c r="J150" s="331"/>
      <c r="K150" s="264">
        <f t="shared" si="30"/>
        <v>5.3499999999999992E-2</v>
      </c>
      <c r="L150" s="227">
        <f>I38+I39+I40+I65+I66+I67+I97+I98+I99</f>
        <v>20531.849862384006</v>
      </c>
      <c r="P150" s="261"/>
    </row>
    <row r="151" spans="1:16">
      <c r="H151" s="331" t="s">
        <v>179</v>
      </c>
      <c r="I151" s="331"/>
      <c r="J151" s="331"/>
      <c r="K151" s="264">
        <f t="shared" si="30"/>
        <v>5.0999999999999976E-2</v>
      </c>
      <c r="L151" s="227">
        <f>I47+I48+I74+I75+I106+I107</f>
        <v>19572.417625824</v>
      </c>
      <c r="P151" s="63"/>
    </row>
    <row r="152" spans="1:16">
      <c r="A152" s="16"/>
      <c r="B152" s="16"/>
      <c r="C152" s="16"/>
      <c r="D152" s="16"/>
      <c r="E152" s="16"/>
      <c r="F152" s="16"/>
      <c r="G152" s="16"/>
      <c r="H152" s="331" t="s">
        <v>180</v>
      </c>
      <c r="I152" s="331"/>
      <c r="J152" s="331"/>
      <c r="K152" s="264">
        <f t="shared" si="30"/>
        <v>2.7499999999999993E-2</v>
      </c>
      <c r="L152" s="227">
        <f>I76+I108+I49</f>
        <v>10553.754602160003</v>
      </c>
      <c r="P152" s="63"/>
    </row>
    <row r="153" spans="1:16">
      <c r="H153" s="332" t="s">
        <v>182</v>
      </c>
      <c r="I153" s="332"/>
      <c r="J153" s="332"/>
      <c r="K153" s="264">
        <f t="shared" si="30"/>
        <v>5.9500000000000192E-2</v>
      </c>
      <c r="L153" s="227">
        <f>I131-N153</f>
        <v>22834.487230128085</v>
      </c>
      <c r="M153" s="37" t="s">
        <v>244</v>
      </c>
      <c r="N153" s="213">
        <f>SUM(L146+L147+L148+L149+L150+L151+L152+L154+L155)</f>
        <v>360938.4073938721</v>
      </c>
      <c r="P153" s="63"/>
    </row>
    <row r="154" spans="1:16" ht="24" customHeight="1">
      <c r="H154" s="334" t="s">
        <v>158</v>
      </c>
      <c r="I154" s="335"/>
      <c r="J154" s="336"/>
      <c r="K154" s="264">
        <f t="shared" si="30"/>
        <v>9.9999999999999978E-2</v>
      </c>
      <c r="L154" s="227">
        <f>I123</f>
        <v>38377.289462400011</v>
      </c>
    </row>
    <row r="155" spans="1:16" ht="18.75" customHeight="1">
      <c r="H155" s="331" t="s">
        <v>181</v>
      </c>
      <c r="I155" s="331"/>
      <c r="J155" s="331"/>
      <c r="K155" s="264">
        <f t="shared" si="30"/>
        <v>3.4999999999999983E-2</v>
      </c>
      <c r="L155" s="227">
        <f>I55+I82+I83+I84+I85+I86+I114+I115+I116+I117+I118+I119+I120</f>
        <v>13432.051311839999</v>
      </c>
    </row>
    <row r="156" spans="1:16">
      <c r="H156" s="35"/>
      <c r="I156" s="35"/>
      <c r="J156" s="35"/>
    </row>
    <row r="157" spans="1:16">
      <c r="A157" s="16"/>
      <c r="B157" s="16"/>
      <c r="C157" s="16"/>
      <c r="D157" s="16"/>
      <c r="E157" s="16"/>
      <c r="F157" s="16"/>
      <c r="G157" s="16"/>
      <c r="H157" s="330" t="s">
        <v>245</v>
      </c>
      <c r="I157" s="330"/>
      <c r="J157" s="330"/>
      <c r="K157" s="264">
        <f t="shared" si="30"/>
        <v>1</v>
      </c>
      <c r="L157" s="213">
        <f>SUM(L146:L155)</f>
        <v>383772.89462400018</v>
      </c>
      <c r="M157" s="63"/>
      <c r="N157" s="262"/>
      <c r="O157" s="263"/>
      <c r="P157" s="63"/>
    </row>
    <row r="159" spans="1:16">
      <c r="H159" s="16"/>
      <c r="I159" s="16"/>
      <c r="J159" s="16"/>
      <c r="K159" s="16"/>
    </row>
  </sheetData>
  <sheetProtection password="D8B3" sheet="1" objects="1" scenarios="1" selectLockedCells="1"/>
  <customSheetViews>
    <customSheetView guid="{77FD295D-1BCD-41C6-B306-76E0FF93C8E4}" showPageBreaks="1" printArea="1" topLeftCell="A17">
      <selection activeCell="M24" sqref="M24"/>
      <pageMargins left="0.19685039370078741" right="0.19685039370078741" top="0.55118110236220474" bottom="0.35433070866141736" header="0" footer="0"/>
      <printOptions horizontalCentered="1"/>
      <pageSetup paperSize="8" scale="85" fitToHeight="0" orientation="landscape" verticalDpi="598" r:id="rId1"/>
      <headerFooter alignWithMargins="0">
        <oddFooter>&amp;R&amp;"Verdana,Negrito itálico"&amp;10Página &amp;P de &amp;N</oddFooter>
      </headerFooter>
    </customSheetView>
  </customSheetViews>
  <mergeCells count="40">
    <mergeCell ref="N5:N11"/>
    <mergeCell ref="A131:G131"/>
    <mergeCell ref="A16:K16"/>
    <mergeCell ref="C18:C19"/>
    <mergeCell ref="A18:A19"/>
    <mergeCell ref="D18:D19"/>
    <mergeCell ref="B18:B19"/>
    <mergeCell ref="M5:M11"/>
    <mergeCell ref="E11:K11"/>
    <mergeCell ref="L18:L19"/>
    <mergeCell ref="A17:L17"/>
    <mergeCell ref="E12:I12"/>
    <mergeCell ref="I14:J14"/>
    <mergeCell ref="E13:I13"/>
    <mergeCell ref="H157:J157"/>
    <mergeCell ref="G18:H18"/>
    <mergeCell ref="G19:H19"/>
    <mergeCell ref="E18:F19"/>
    <mergeCell ref="I18:J19"/>
    <mergeCell ref="H155:J155"/>
    <mergeCell ref="H146:J146"/>
    <mergeCell ref="H147:J147"/>
    <mergeCell ref="H148:J148"/>
    <mergeCell ref="H149:J149"/>
    <mergeCell ref="H150:J150"/>
    <mergeCell ref="H145:L145"/>
    <mergeCell ref="H151:J151"/>
    <mergeCell ref="H152:J152"/>
    <mergeCell ref="H153:J153"/>
    <mergeCell ref="H154:J154"/>
    <mergeCell ref="G133:H133"/>
    <mergeCell ref="I133:J134"/>
    <mergeCell ref="L133:L134"/>
    <mergeCell ref="G134:H134"/>
    <mergeCell ref="A138:G138"/>
    <mergeCell ref="A133:A134"/>
    <mergeCell ref="B133:B134"/>
    <mergeCell ref="C133:C134"/>
    <mergeCell ref="D133:D134"/>
    <mergeCell ref="E133:F134"/>
  </mergeCells>
  <phoneticPr fontId="0" type="noConversion"/>
  <printOptions horizontalCentered="1" verticalCentered="1"/>
  <pageMargins left="0.19685039370078741" right="0.19685039370078741" top="0.55118110236220474" bottom="0.35433070866141736" header="0" footer="0"/>
  <pageSetup paperSize="8" fitToHeight="0" orientation="landscape" verticalDpi="598" r:id="rId2"/>
  <headerFooter alignWithMargins="0">
    <oddHeader xml:space="preserve">&amp;L  </oddHeader>
    <oddFooter>&amp;R&amp;"Verdana,Negrito itálico"Página &amp;P de &amp;N</oddFooter>
  </headerFooter>
  <rowBreaks count="4" manualBreakCount="4">
    <brk id="29" max="11" man="1"/>
    <brk id="55" max="11" man="1"/>
    <brk id="87" max="11" man="1"/>
    <brk id="121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L34"/>
  <sheetViews>
    <sheetView tabSelected="1" view="pageLayout" topLeftCell="A7" zoomScale="110" zoomScalePageLayoutView="110" workbookViewId="0">
      <selection activeCell="F15" sqref="F15:H15"/>
    </sheetView>
  </sheetViews>
  <sheetFormatPr defaultRowHeight="12.75"/>
  <cols>
    <col min="1" max="1" width="10.5703125" style="200" customWidth="1"/>
    <col min="2" max="2" width="10.42578125" style="200" customWidth="1"/>
    <col min="3" max="3" width="11.5703125" style="200" customWidth="1"/>
    <col min="4" max="4" width="10.85546875" customWidth="1"/>
    <col min="7" max="7" width="10.28515625" bestFit="1" customWidth="1"/>
    <col min="8" max="8" width="12" customWidth="1"/>
    <col min="9" max="9" width="10.140625" customWidth="1"/>
    <col min="10" max="10" width="12" customWidth="1"/>
  </cols>
  <sheetData>
    <row r="1" spans="1:10" s="3" customFormat="1" ht="54.75" customHeight="1">
      <c r="A1" s="53"/>
      <c r="B1" s="366" t="s">
        <v>229</v>
      </c>
      <c r="C1" s="366"/>
      <c r="D1" s="366"/>
      <c r="E1" s="1"/>
      <c r="F1" s="1"/>
    </row>
    <row r="2" spans="1:10" s="3" customFormat="1" ht="16.5" customHeight="1">
      <c r="A2" s="53"/>
      <c r="B2" s="204"/>
      <c r="C2" s="204"/>
      <c r="D2" s="204"/>
      <c r="E2" s="1"/>
      <c r="F2" s="1"/>
    </row>
    <row r="3" spans="1:10" s="3" customFormat="1" ht="15">
      <c r="A3" s="53"/>
      <c r="B3" s="39"/>
      <c r="C3" s="56"/>
      <c r="D3" s="53"/>
      <c r="E3" s="1"/>
      <c r="F3" s="1"/>
    </row>
    <row r="4" spans="1:10" s="3" customFormat="1" ht="15.75">
      <c r="A4" s="367" t="str">
        <f>'Planilha Orçamentária'!A3</f>
        <v>ÓRGÃO CONTRATANTE: JUSTIÇA FEDERAL DE PRIMEIRO GRAU - SEÇÃO JUDICIÁRIA DO PARÁ</v>
      </c>
      <c r="B4" s="367"/>
      <c r="C4" s="367"/>
      <c r="D4" s="367"/>
      <c r="E4" s="367"/>
      <c r="F4" s="367"/>
      <c r="G4" s="367"/>
      <c r="H4" s="367"/>
      <c r="I4" s="367"/>
    </row>
    <row r="5" spans="1:10" s="3" customFormat="1" ht="24" customHeight="1">
      <c r="A5" s="365" t="str">
        <f>'Planilha Orçamentária'!A5</f>
        <v>ELABORAÇÃO DE PROJETOS PARA A CONSTRUÇÃO DO EDIFÍCIO SEDE DA SUBSEÇÃO JUDICIÁRIA DE ITAITUBA</v>
      </c>
      <c r="B5" s="365"/>
      <c r="C5" s="365"/>
      <c r="D5" s="365"/>
      <c r="E5" s="365"/>
      <c r="F5" s="365"/>
      <c r="G5" s="365"/>
      <c r="H5" s="365"/>
      <c r="I5" s="365"/>
      <c r="J5" s="365"/>
    </row>
    <row r="6" spans="1:10" s="3" customFormat="1" ht="24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</row>
    <row r="7" spans="1:10" s="3" customFormat="1">
      <c r="A7" s="217" t="str">
        <f>'Planilha Orçamentária'!A8</f>
        <v>NOME DA EMPRESA:</v>
      </c>
      <c r="B7" s="218"/>
      <c r="C7" s="219"/>
      <c r="D7" s="220"/>
      <c r="E7" s="221"/>
      <c r="F7" s="222"/>
      <c r="G7" s="223"/>
      <c r="H7" s="223"/>
      <c r="I7" s="223"/>
      <c r="J7" s="223"/>
    </row>
    <row r="8" spans="1:10" s="3" customFormat="1">
      <c r="A8" s="224" t="s">
        <v>188</v>
      </c>
      <c r="B8" s="217" t="str">
        <f>'Planilha Orçamentária'!B9</f>
        <v>XX.YYY.ZZZ/AAAA-BB</v>
      </c>
      <c r="C8" s="219"/>
      <c r="D8" s="220"/>
      <c r="E8" s="221"/>
      <c r="F8" s="222"/>
      <c r="G8" s="223"/>
      <c r="H8" s="223"/>
      <c r="I8" s="223"/>
      <c r="J8" s="223"/>
    </row>
    <row r="9" spans="1:10" s="3" customFormat="1">
      <c r="A9" s="217" t="s">
        <v>190</v>
      </c>
      <c r="B9" s="217"/>
      <c r="C9" s="223"/>
      <c r="D9" s="225">
        <f>'Planilha Orçamentária'!I14</f>
        <v>218</v>
      </c>
      <c r="E9" s="221"/>
      <c r="F9" s="222"/>
      <c r="G9" s="223"/>
      <c r="H9" s="223"/>
      <c r="I9" s="223"/>
      <c r="J9" s="223"/>
    </row>
    <row r="10" spans="1:10" s="45" customFormat="1">
      <c r="A10" s="47"/>
      <c r="B10" s="50"/>
      <c r="C10" s="57"/>
      <c r="D10" s="47"/>
      <c r="E10" s="54"/>
      <c r="F10" s="54"/>
      <c r="G10" s="54"/>
      <c r="H10" s="54"/>
      <c r="I10" s="54"/>
    </row>
    <row r="11" spans="1:10" s="200" customFormat="1"/>
    <row r="13" spans="1:10" s="200" customFormat="1">
      <c r="C13" s="374" t="s">
        <v>219</v>
      </c>
      <c r="D13" s="375"/>
      <c r="E13" s="376"/>
      <c r="F13" s="374" t="s">
        <v>220</v>
      </c>
      <c r="G13" s="375"/>
      <c r="H13" s="376"/>
    </row>
    <row r="14" spans="1:10">
      <c r="C14"/>
    </row>
    <row r="15" spans="1:10" s="200" customFormat="1">
      <c r="C15" s="353" t="s">
        <v>221</v>
      </c>
      <c r="D15" s="354"/>
      <c r="E15" s="355"/>
      <c r="F15" s="371">
        <v>7.4999999999999997E-2</v>
      </c>
      <c r="G15" s="372"/>
      <c r="H15" s="373"/>
    </row>
    <row r="16" spans="1:10" s="200" customFormat="1">
      <c r="C16" s="353" t="s">
        <v>222</v>
      </c>
      <c r="D16" s="354"/>
      <c r="E16" s="355"/>
      <c r="F16" s="368">
        <v>0.04</v>
      </c>
      <c r="G16" s="369"/>
      <c r="H16" s="370"/>
      <c r="J16" s="202"/>
    </row>
    <row r="17" spans="1:12" s="200" customFormat="1">
      <c r="C17" s="353" t="s">
        <v>223</v>
      </c>
      <c r="D17" s="354"/>
      <c r="E17" s="355"/>
      <c r="F17" s="368">
        <v>1.2E-2</v>
      </c>
      <c r="G17" s="369"/>
      <c r="H17" s="370"/>
      <c r="J17" s="201"/>
    </row>
    <row r="18" spans="1:12" s="200" customFormat="1">
      <c r="C18" s="353" t="s">
        <v>224</v>
      </c>
      <c r="D18" s="354"/>
      <c r="E18" s="355"/>
      <c r="F18" s="368">
        <v>0.05</v>
      </c>
      <c r="G18" s="369"/>
      <c r="H18" s="370"/>
    </row>
    <row r="19" spans="1:12" s="200" customFormat="1">
      <c r="C19" s="353" t="s">
        <v>225</v>
      </c>
      <c r="D19" s="354"/>
      <c r="E19" s="355"/>
      <c r="F19" s="368">
        <v>1.32E-2</v>
      </c>
      <c r="G19" s="369"/>
      <c r="H19" s="370"/>
    </row>
    <row r="20" spans="1:12" s="200" customFormat="1">
      <c r="C20" s="353" t="s">
        <v>226</v>
      </c>
      <c r="D20" s="354"/>
      <c r="E20" s="355"/>
      <c r="F20" s="368">
        <v>6.08E-2</v>
      </c>
      <c r="G20" s="369"/>
      <c r="H20" s="370"/>
    </row>
    <row r="21" spans="1:12">
      <c r="C21" s="362" t="s">
        <v>227</v>
      </c>
      <c r="D21" s="362"/>
      <c r="E21" s="362"/>
      <c r="F21" s="363">
        <v>0.01</v>
      </c>
      <c r="G21" s="363"/>
      <c r="H21" s="363"/>
    </row>
    <row r="22" spans="1:12">
      <c r="C22"/>
    </row>
    <row r="23" spans="1:12">
      <c r="C23" s="359" t="s">
        <v>113</v>
      </c>
      <c r="D23" s="359"/>
      <c r="E23" s="360"/>
      <c r="F23" s="205"/>
      <c r="G23" s="282">
        <f>(((1+F16+F21)*(1+F17)*(1+F15))/(1-F18-F19-F20))-1</f>
        <v>0.30398972602739716</v>
      </c>
      <c r="H23" s="206"/>
    </row>
    <row r="24" spans="1:12">
      <c r="C24"/>
    </row>
    <row r="25" spans="1:12">
      <c r="C25" s="361" t="s">
        <v>228</v>
      </c>
      <c r="D25" s="361"/>
      <c r="E25" s="361"/>
      <c r="F25" s="361"/>
      <c r="G25" s="361"/>
      <c r="H25" s="361"/>
      <c r="I25" s="199"/>
      <c r="J25" s="199"/>
      <c r="K25" s="199"/>
      <c r="L25" s="199"/>
    </row>
    <row r="28" spans="1:12">
      <c r="A28" s="358"/>
      <c r="B28" s="358"/>
      <c r="C28" s="358"/>
      <c r="D28" s="358"/>
      <c r="E28" s="358"/>
      <c r="F28" s="358"/>
      <c r="G28" s="358"/>
      <c r="H28" s="358"/>
      <c r="I28" s="358"/>
      <c r="J28" s="358"/>
    </row>
    <row r="29" spans="1:12">
      <c r="A29" s="357" t="str">
        <f>'Planilha Orçamentária'!G8</f>
        <v>NOME DO RESP. TÉCN.</v>
      </c>
      <c r="B29" s="357"/>
      <c r="C29" s="357"/>
      <c r="D29" s="357"/>
      <c r="E29" s="357"/>
      <c r="F29" s="357"/>
      <c r="G29" s="357"/>
      <c r="H29" s="357"/>
      <c r="I29" s="357"/>
      <c r="J29" s="357"/>
    </row>
    <row r="30" spans="1:12">
      <c r="A30" s="356" t="str">
        <f>'Planilha Orçamentária'!L8</f>
        <v>N. CAU/CREA</v>
      </c>
      <c r="B30" s="356"/>
      <c r="C30" s="356"/>
      <c r="D30" s="356"/>
      <c r="E30" s="356"/>
      <c r="F30" s="356"/>
      <c r="G30" s="356"/>
      <c r="H30" s="356"/>
      <c r="I30" s="356"/>
      <c r="J30" s="356"/>
    </row>
    <row r="32" spans="1:12" s="252" customFormat="1" ht="12">
      <c r="A32" s="252" t="s">
        <v>234</v>
      </c>
    </row>
    <row r="33" spans="1:10" s="251" customFormat="1" ht="22.5" customHeight="1">
      <c r="A33" s="364" t="s">
        <v>236</v>
      </c>
      <c r="B33" s="364"/>
      <c r="C33" s="364"/>
      <c r="D33" s="364"/>
      <c r="E33" s="364"/>
      <c r="F33" s="364"/>
      <c r="G33" s="364"/>
      <c r="H33" s="364"/>
      <c r="I33" s="364"/>
      <c r="J33" s="364"/>
    </row>
    <row r="34" spans="1:10" s="251" customFormat="1" ht="11.25">
      <c r="A34" s="251" t="s">
        <v>235</v>
      </c>
    </row>
  </sheetData>
  <sheetProtection password="E9AA" sheet="1" objects="1" scenarios="1"/>
  <mergeCells count="25">
    <mergeCell ref="A33:J33"/>
    <mergeCell ref="A5:J5"/>
    <mergeCell ref="B1:D1"/>
    <mergeCell ref="A4:I4"/>
    <mergeCell ref="C20:E20"/>
    <mergeCell ref="C19:E19"/>
    <mergeCell ref="C18:E18"/>
    <mergeCell ref="F20:H20"/>
    <mergeCell ref="F19:H19"/>
    <mergeCell ref="F18:H18"/>
    <mergeCell ref="F17:H17"/>
    <mergeCell ref="F16:H16"/>
    <mergeCell ref="F15:H15"/>
    <mergeCell ref="C13:E13"/>
    <mergeCell ref="F13:H13"/>
    <mergeCell ref="C15:E15"/>
    <mergeCell ref="C16:E16"/>
    <mergeCell ref="A30:J30"/>
    <mergeCell ref="A29:J29"/>
    <mergeCell ref="A28:J28"/>
    <mergeCell ref="C17:E17"/>
    <mergeCell ref="C23:E23"/>
    <mergeCell ref="C25:H25"/>
    <mergeCell ref="C21:E21"/>
    <mergeCell ref="F21:H2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9" orientation="landscape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S109"/>
  <sheetViews>
    <sheetView showGridLines="0" view="pageBreakPreview" topLeftCell="A7" zoomScale="115" zoomScaleNormal="75" zoomScaleSheetLayoutView="115" workbookViewId="0">
      <selection activeCell="D15" sqref="D15:F15"/>
    </sheetView>
  </sheetViews>
  <sheetFormatPr defaultColWidth="9.140625" defaultRowHeight="11.25"/>
  <cols>
    <col min="1" max="1" width="5.7109375" style="21" customWidth="1"/>
    <col min="2" max="2" width="38.140625" style="28" customWidth="1"/>
    <col min="3" max="3" width="15.5703125" style="250" customWidth="1"/>
    <col min="4" max="4" width="9.28515625" style="28" bestFit="1" customWidth="1"/>
    <col min="5" max="5" width="6.5703125" style="28" bestFit="1" customWidth="1"/>
    <col min="6" max="6" width="6.5703125" style="28" customWidth="1"/>
    <col min="7" max="7" width="9.28515625" style="28" bestFit="1" customWidth="1"/>
    <col min="8" max="8" width="6.5703125" style="28" bestFit="1" customWidth="1"/>
    <col min="9" max="9" width="6.5703125" style="28" customWidth="1"/>
    <col min="10" max="10" width="9.28515625" style="28" bestFit="1" customWidth="1"/>
    <col min="11" max="11" width="6.5703125" style="28" bestFit="1" customWidth="1"/>
    <col min="12" max="12" width="6.5703125" style="28" customWidth="1"/>
    <col min="13" max="13" width="9.28515625" style="28" bestFit="1" customWidth="1"/>
    <col min="14" max="14" width="6.5703125" style="28" bestFit="1" customWidth="1"/>
    <col min="15" max="15" width="6.5703125" style="28" customWidth="1"/>
    <col min="16" max="16" width="9.28515625" style="28" bestFit="1" customWidth="1"/>
    <col min="17" max="17" width="6.5703125" style="28" bestFit="1" customWidth="1"/>
    <col min="18" max="18" width="6.5703125" style="28" customWidth="1"/>
    <col min="19" max="19" width="5.140625" style="28" customWidth="1"/>
    <col min="20" max="16384" width="9.140625" style="28"/>
  </cols>
  <sheetData>
    <row r="1" spans="1:18" s="3" customFormat="1" ht="54.75" customHeight="1">
      <c r="A1" s="53"/>
      <c r="B1" s="228" t="s">
        <v>209</v>
      </c>
      <c r="C1" s="56"/>
      <c r="D1" s="1"/>
      <c r="E1" s="1"/>
      <c r="F1" s="1"/>
      <c r="G1" s="1"/>
      <c r="H1" s="1"/>
      <c r="I1" s="1"/>
      <c r="K1" s="1"/>
      <c r="L1" s="1"/>
      <c r="N1" s="1"/>
      <c r="O1" s="1"/>
      <c r="Q1" s="1"/>
      <c r="R1" s="1"/>
    </row>
    <row r="2" spans="1:18" s="3" customFormat="1" ht="15">
      <c r="A2" s="53"/>
      <c r="B2" s="228"/>
      <c r="C2" s="56"/>
      <c r="D2" s="1"/>
      <c r="E2" s="1"/>
      <c r="F2" s="1"/>
      <c r="G2" s="1"/>
      <c r="H2" s="1"/>
      <c r="I2" s="1"/>
      <c r="K2" s="1"/>
      <c r="L2" s="1"/>
      <c r="N2" s="1"/>
      <c r="O2" s="1"/>
      <c r="Q2" s="1"/>
      <c r="R2" s="1"/>
    </row>
    <row r="3" spans="1:18" s="3" customFormat="1" ht="15.75">
      <c r="A3" s="367" t="str">
        <f>'Planilha Orçamentária'!A3</f>
        <v>ÓRGÃO CONTRATANTE: JUSTIÇA FEDERAL DE PRIMEIRO GRAU - SEÇÃO JUDICIÁRIA DO PARÁ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296"/>
      <c r="R3" s="296"/>
    </row>
    <row r="4" spans="1:18" s="3" customFormat="1" ht="15">
      <c r="A4" s="53"/>
      <c r="B4" s="228"/>
      <c r="C4" s="56"/>
      <c r="D4" s="1"/>
      <c r="E4" s="1"/>
      <c r="F4" s="1"/>
      <c r="G4" s="1"/>
      <c r="H4" s="1"/>
      <c r="I4" s="1"/>
      <c r="K4" s="1"/>
      <c r="L4" s="1"/>
      <c r="N4" s="1"/>
      <c r="O4" s="1"/>
      <c r="Q4" s="1"/>
      <c r="R4" s="1"/>
    </row>
    <row r="5" spans="1:18" s="3" customFormat="1" ht="15">
      <c r="A5" s="53"/>
      <c r="B5" s="228"/>
      <c r="C5" s="56"/>
      <c r="D5" s="1"/>
      <c r="E5" s="1"/>
      <c r="F5" s="1"/>
      <c r="G5" s="1"/>
      <c r="H5" s="1"/>
      <c r="I5" s="1"/>
      <c r="K5" s="1"/>
      <c r="L5" s="1"/>
      <c r="N5" s="1"/>
      <c r="O5" s="1"/>
      <c r="Q5" s="1"/>
      <c r="R5" s="1"/>
    </row>
    <row r="6" spans="1:18" s="3" customFormat="1" ht="15">
      <c r="A6" s="53"/>
      <c r="B6" s="228"/>
      <c r="C6" s="56"/>
      <c r="D6" s="1"/>
      <c r="E6" s="1"/>
      <c r="F6" s="1"/>
      <c r="G6" s="1"/>
      <c r="H6" s="1"/>
      <c r="I6" s="1"/>
      <c r="K6" s="1"/>
      <c r="L6" s="1"/>
      <c r="N6" s="1"/>
      <c r="O6" s="1"/>
      <c r="Q6" s="1"/>
      <c r="R6" s="1"/>
    </row>
    <row r="7" spans="1:18" s="3" customFormat="1" ht="12.75">
      <c r="A7" s="196" t="str">
        <f>'Planilha Orçamentária'!A8</f>
        <v>NOME DA EMPRESA:</v>
      </c>
      <c r="B7" s="197"/>
      <c r="C7" s="198"/>
      <c r="D7" s="4"/>
      <c r="E7" s="4"/>
      <c r="F7" s="4"/>
      <c r="G7" s="55"/>
      <c r="H7" s="4"/>
      <c r="I7" s="4"/>
      <c r="K7" s="4"/>
      <c r="L7" s="4"/>
      <c r="N7" s="4"/>
      <c r="O7" s="4"/>
      <c r="Q7" s="4"/>
      <c r="R7" s="4"/>
    </row>
    <row r="8" spans="1:18" s="3" customFormat="1" ht="12.75">
      <c r="A8" s="230" t="s">
        <v>188</v>
      </c>
      <c r="B8" s="196" t="str">
        <f>'Planilha Orçamentária'!B9</f>
        <v>XX.YYY.ZZZ/AAAA-BB</v>
      </c>
      <c r="C8" s="198"/>
      <c r="D8" s="4"/>
      <c r="E8" s="4"/>
      <c r="F8" s="4"/>
      <c r="G8" s="55"/>
      <c r="H8" s="4"/>
      <c r="I8" s="4"/>
      <c r="K8" s="4"/>
      <c r="L8" s="4"/>
      <c r="N8" s="4"/>
      <c r="O8" s="4"/>
      <c r="Q8" s="4"/>
      <c r="R8" s="4"/>
    </row>
    <row r="9" spans="1:18" s="3" customFormat="1" ht="12.75">
      <c r="A9" s="196" t="s">
        <v>190</v>
      </c>
      <c r="B9" s="196"/>
      <c r="C9" s="313">
        <f>SUM(D17:F17,G18:I18,J19:L19,M20:O20,P21:R21)</f>
        <v>218</v>
      </c>
      <c r="D9" s="4"/>
      <c r="E9" s="4"/>
      <c r="F9" s="4"/>
      <c r="G9" s="55"/>
      <c r="H9" s="4"/>
      <c r="I9" s="4"/>
      <c r="K9" s="4"/>
      <c r="L9" s="4"/>
      <c r="N9" s="4"/>
      <c r="O9" s="4"/>
      <c r="Q9" s="4"/>
      <c r="R9" s="4"/>
    </row>
    <row r="10" spans="1:18" s="235" customFormat="1" ht="12.75">
      <c r="A10" s="231"/>
      <c r="B10" s="232"/>
      <c r="C10" s="233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</row>
    <row r="11" spans="1:18" s="235" customFormat="1" ht="24" customHeight="1">
      <c r="A11" s="398" t="str">
        <f>'Planilha Orçamentária'!A5:L5</f>
        <v>ELABORAÇÃO DE PROJETOS PARA A CONSTRUÇÃO DO EDIFÍCIO SEDE DA SUBSEÇÃO JUDICIÁRIA DE ITAITUBA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00"/>
      <c r="R11" s="300"/>
    </row>
    <row r="12" spans="1:18" s="235" customFormat="1" ht="12.75">
      <c r="A12" s="236"/>
      <c r="B12" s="236"/>
      <c r="C12" s="237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</row>
    <row r="13" spans="1:18" s="238" customFormat="1" ht="15.75">
      <c r="A13" s="397" t="s">
        <v>40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299"/>
      <c r="R13" s="299"/>
    </row>
    <row r="14" spans="1:18" s="238" customFormat="1" ht="18" customHeight="1">
      <c r="A14" s="215"/>
      <c r="B14" s="34"/>
      <c r="C14" s="239"/>
      <c r="D14" s="34"/>
      <c r="E14" s="34"/>
      <c r="F14" s="34"/>
      <c r="G14" s="240"/>
      <c r="H14" s="34"/>
      <c r="I14" s="34"/>
      <c r="J14" s="240"/>
      <c r="K14" s="34"/>
      <c r="L14" s="34"/>
      <c r="M14" s="240"/>
      <c r="N14" s="34"/>
      <c r="O14" s="34"/>
      <c r="P14" s="240"/>
      <c r="Q14" s="34"/>
      <c r="R14" s="34"/>
    </row>
    <row r="15" spans="1:18" s="241" customFormat="1" ht="22.5" customHeight="1">
      <c r="A15" s="404" t="s">
        <v>26</v>
      </c>
      <c r="B15" s="404" t="s">
        <v>5</v>
      </c>
      <c r="C15" s="406" t="s">
        <v>189</v>
      </c>
      <c r="D15" s="383" t="s">
        <v>264</v>
      </c>
      <c r="E15" s="384"/>
      <c r="F15" s="385"/>
      <c r="G15" s="383" t="s">
        <v>268</v>
      </c>
      <c r="H15" s="384"/>
      <c r="I15" s="385"/>
      <c r="J15" s="383" t="s">
        <v>269</v>
      </c>
      <c r="K15" s="384"/>
      <c r="L15" s="385"/>
      <c r="M15" s="383" t="s">
        <v>270</v>
      </c>
      <c r="N15" s="384"/>
      <c r="O15" s="385"/>
      <c r="P15" s="383" t="s">
        <v>191</v>
      </c>
      <c r="Q15" s="384"/>
      <c r="R15" s="384"/>
    </row>
    <row r="16" spans="1:18" s="241" customFormat="1">
      <c r="A16" s="405"/>
      <c r="B16" s="405"/>
      <c r="C16" s="407"/>
      <c r="D16" s="301" t="s">
        <v>265</v>
      </c>
      <c r="E16" s="301" t="s">
        <v>266</v>
      </c>
      <c r="F16" s="301" t="s">
        <v>267</v>
      </c>
      <c r="G16" s="301" t="s">
        <v>265</v>
      </c>
      <c r="H16" s="301" t="s">
        <v>266</v>
      </c>
      <c r="I16" s="301" t="s">
        <v>267</v>
      </c>
      <c r="J16" s="301" t="s">
        <v>265</v>
      </c>
      <c r="K16" s="301" t="s">
        <v>266</v>
      </c>
      <c r="L16" s="301" t="s">
        <v>267</v>
      </c>
      <c r="M16" s="301" t="s">
        <v>265</v>
      </c>
      <c r="N16" s="301" t="s">
        <v>266</v>
      </c>
      <c r="O16" s="301" t="s">
        <v>267</v>
      </c>
      <c r="P16" s="301" t="s">
        <v>265</v>
      </c>
      <c r="Q16" s="301" t="s">
        <v>266</v>
      </c>
      <c r="R16" s="301" t="s">
        <v>267</v>
      </c>
    </row>
    <row r="17" spans="1:19" s="241" customFormat="1">
      <c r="A17" s="302" t="s">
        <v>27</v>
      </c>
      <c r="B17" s="303" t="s">
        <v>255</v>
      </c>
      <c r="C17" s="304">
        <f>+'Planilha Orçamentária'!I21+'Planilha Orçamentária'!I135</f>
        <v>35415.754731199995</v>
      </c>
      <c r="D17" s="305">
        <v>15</v>
      </c>
      <c r="E17" s="305">
        <v>7</v>
      </c>
      <c r="F17" s="305">
        <v>5</v>
      </c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</row>
    <row r="18" spans="1:19" s="241" customFormat="1" ht="12" customHeight="1">
      <c r="A18" s="302" t="s">
        <v>28</v>
      </c>
      <c r="B18" s="303" t="str">
        <f>+'Planilha Orçamentária'!B30</f>
        <v>ANTEPROJETO</v>
      </c>
      <c r="C18" s="304">
        <f>+'Planilha Orçamentária'!I30</f>
        <v>57565.934193600013</v>
      </c>
      <c r="D18" s="311"/>
      <c r="E18" s="311"/>
      <c r="F18" s="311"/>
      <c r="G18" s="306">
        <v>15</v>
      </c>
      <c r="H18" s="311">
        <v>7</v>
      </c>
      <c r="I18" s="311">
        <v>5</v>
      </c>
      <c r="J18" s="306"/>
      <c r="K18" s="311"/>
      <c r="L18" s="311"/>
      <c r="M18" s="307"/>
      <c r="N18" s="311"/>
      <c r="O18" s="311"/>
      <c r="P18" s="307"/>
      <c r="Q18" s="311"/>
      <c r="R18" s="311"/>
      <c r="S18" s="242"/>
    </row>
    <row r="19" spans="1:19" s="241" customFormat="1" ht="12" customHeight="1">
      <c r="A19" s="302" t="s">
        <v>29</v>
      </c>
      <c r="B19" s="303" t="str">
        <f>+'Planilha Orçamentária'!B57</f>
        <v>PROJETO BÁSICO</v>
      </c>
      <c r="C19" s="304">
        <f>+'Planilha Orçamentária'!I57</f>
        <v>172697.80258080005</v>
      </c>
      <c r="D19" s="306"/>
      <c r="E19" s="306"/>
      <c r="F19" s="306"/>
      <c r="G19" s="311"/>
      <c r="H19" s="306"/>
      <c r="I19" s="306"/>
      <c r="J19" s="306">
        <v>40</v>
      </c>
      <c r="K19" s="306">
        <v>15</v>
      </c>
      <c r="L19" s="306">
        <v>5</v>
      </c>
      <c r="M19" s="306"/>
      <c r="N19" s="306"/>
      <c r="O19" s="306"/>
      <c r="P19" s="306"/>
      <c r="Q19" s="306"/>
      <c r="R19" s="306"/>
      <c r="S19" s="242"/>
    </row>
    <row r="20" spans="1:19" s="241" customFormat="1" ht="12" customHeight="1">
      <c r="A20" s="302" t="s">
        <v>30</v>
      </c>
      <c r="B20" s="303" t="str">
        <f>+'Planilha Orçamentária'!B89</f>
        <v>PROJETO EXECUTIVO</v>
      </c>
      <c r="C20" s="304">
        <f>+'Planilha Orçamentária'!I89</f>
        <v>95943.223656000075</v>
      </c>
      <c r="D20" s="307"/>
      <c r="E20" s="307"/>
      <c r="F20" s="307"/>
      <c r="G20" s="306"/>
      <c r="H20" s="307"/>
      <c r="I20" s="307"/>
      <c r="J20" s="311"/>
      <c r="K20" s="307"/>
      <c r="L20" s="307"/>
      <c r="M20" s="306">
        <v>40</v>
      </c>
      <c r="N20" s="307">
        <v>15</v>
      </c>
      <c r="O20" s="307">
        <v>14</v>
      </c>
      <c r="P20" s="306"/>
      <c r="Q20" s="307"/>
      <c r="R20" s="307"/>
      <c r="S20" s="242"/>
    </row>
    <row r="21" spans="1:19" s="241" customFormat="1" ht="12" customHeight="1">
      <c r="A21" s="302" t="s">
        <v>31</v>
      </c>
      <c r="B21" s="308" t="str">
        <f>+'Planilha Orçamentária'!B123</f>
        <v>APROVAÇÃO DE PROJETOS E ENTREGA DE DOCUMENTAÇÃO</v>
      </c>
      <c r="C21" s="304">
        <f>+'Planilha Orçamentária'!I123</f>
        <v>38377.289462400011</v>
      </c>
      <c r="D21" s="307"/>
      <c r="E21" s="307"/>
      <c r="F21" s="307"/>
      <c r="G21" s="307"/>
      <c r="H21" s="307"/>
      <c r="I21" s="307"/>
      <c r="J21" s="307"/>
      <c r="K21" s="307"/>
      <c r="L21" s="307"/>
      <c r="M21" s="311"/>
      <c r="N21" s="307"/>
      <c r="O21" s="307"/>
      <c r="P21" s="306">
        <v>35</v>
      </c>
      <c r="Q21" s="307">
        <v>0</v>
      </c>
      <c r="R21" s="307">
        <v>0</v>
      </c>
      <c r="S21" s="242"/>
    </row>
    <row r="22" spans="1:19" s="241" customFormat="1">
      <c r="A22" s="302"/>
      <c r="B22" s="303"/>
      <c r="C22" s="304"/>
      <c r="D22" s="307"/>
      <c r="E22" s="307"/>
      <c r="F22" s="307"/>
      <c r="G22" s="307"/>
      <c r="H22" s="307"/>
      <c r="I22" s="307"/>
      <c r="J22" s="307"/>
      <c r="K22" s="307"/>
      <c r="L22" s="307"/>
      <c r="M22" s="306"/>
      <c r="N22" s="307"/>
      <c r="O22" s="307"/>
      <c r="P22" s="311"/>
      <c r="Q22" s="307"/>
      <c r="R22" s="307"/>
      <c r="S22" s="242"/>
    </row>
    <row r="23" spans="1:19" s="241" customFormat="1" ht="12" customHeight="1">
      <c r="A23" s="400"/>
      <c r="B23" s="400"/>
      <c r="C23" s="309">
        <f>SUM(C17:C21)</f>
        <v>400000.00462400017</v>
      </c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242"/>
    </row>
    <row r="24" spans="1:19" s="241" customFormat="1" ht="12" customHeight="1">
      <c r="A24" s="401" t="s">
        <v>192</v>
      </c>
      <c r="B24" s="401"/>
      <c r="C24" s="401"/>
      <c r="D24" s="386">
        <f>C17</f>
        <v>35415.754731199995</v>
      </c>
      <c r="E24" s="387"/>
      <c r="F24" s="388"/>
      <c r="G24" s="386">
        <f>C18</f>
        <v>57565.934193600013</v>
      </c>
      <c r="H24" s="387"/>
      <c r="I24" s="388"/>
      <c r="J24" s="386">
        <f>C19</f>
        <v>172697.80258080005</v>
      </c>
      <c r="K24" s="387"/>
      <c r="L24" s="388"/>
      <c r="M24" s="386">
        <f>C20</f>
        <v>95943.223656000075</v>
      </c>
      <c r="N24" s="387"/>
      <c r="O24" s="388"/>
      <c r="P24" s="386">
        <f>C21</f>
        <v>38377.289462400011</v>
      </c>
      <c r="Q24" s="387"/>
      <c r="R24" s="388"/>
    </row>
    <row r="25" spans="1:19" s="241" customFormat="1" ht="12" customHeight="1">
      <c r="A25" s="402" t="s">
        <v>32</v>
      </c>
      <c r="B25" s="402"/>
      <c r="C25" s="402"/>
      <c r="D25" s="380">
        <f>D24/$C$23</f>
        <v>8.8539385804484644E-2</v>
      </c>
      <c r="E25" s="381"/>
      <c r="F25" s="382"/>
      <c r="G25" s="380">
        <f>G24/$C$23</f>
        <v>0.14391483382034448</v>
      </c>
      <c r="H25" s="381"/>
      <c r="I25" s="382"/>
      <c r="J25" s="380">
        <f>J24/$C$23</f>
        <v>0.43174450146103349</v>
      </c>
      <c r="K25" s="381"/>
      <c r="L25" s="382"/>
      <c r="M25" s="380">
        <f>M24/$C$23</f>
        <v>0.23985805636724095</v>
      </c>
      <c r="N25" s="381"/>
      <c r="O25" s="382"/>
      <c r="P25" s="380">
        <f>P24/$C$23</f>
        <v>9.5943222546896328E-2</v>
      </c>
      <c r="Q25" s="381"/>
      <c r="R25" s="382"/>
    </row>
    <row r="26" spans="1:19" s="241" customFormat="1" ht="12" customHeight="1">
      <c r="A26" s="403" t="s">
        <v>193</v>
      </c>
      <c r="B26" s="403"/>
      <c r="C26" s="403"/>
      <c r="D26" s="389">
        <f>+D24</f>
        <v>35415.754731199995</v>
      </c>
      <c r="E26" s="390"/>
      <c r="F26" s="391"/>
      <c r="G26" s="389">
        <f>+D26+G24</f>
        <v>92981.688924800008</v>
      </c>
      <c r="H26" s="390"/>
      <c r="I26" s="391"/>
      <c r="J26" s="389">
        <f>+G26+J24</f>
        <v>265679.49150560005</v>
      </c>
      <c r="K26" s="390"/>
      <c r="L26" s="391"/>
      <c r="M26" s="389">
        <f t="shared" ref="M26" si="0">+J26+M24</f>
        <v>361622.71516160015</v>
      </c>
      <c r="N26" s="390"/>
      <c r="O26" s="391"/>
      <c r="P26" s="392">
        <f t="shared" ref="P26" si="1">+M26+P24</f>
        <v>400000.00462400017</v>
      </c>
      <c r="Q26" s="393"/>
      <c r="R26" s="394"/>
    </row>
    <row r="27" spans="1:19" s="243" customFormat="1" ht="12" customHeight="1">
      <c r="A27" s="399" t="s">
        <v>33</v>
      </c>
      <c r="B27" s="399"/>
      <c r="C27" s="399"/>
      <c r="D27" s="377">
        <f>D26/C23</f>
        <v>8.8539385804484644E-2</v>
      </c>
      <c r="E27" s="378"/>
      <c r="F27" s="379"/>
      <c r="G27" s="377">
        <f>G25+D27</f>
        <v>0.23245421962482912</v>
      </c>
      <c r="H27" s="378"/>
      <c r="I27" s="379"/>
      <c r="J27" s="377">
        <f>J25+G27</f>
        <v>0.66419872108586264</v>
      </c>
      <c r="K27" s="378"/>
      <c r="L27" s="379"/>
      <c r="M27" s="377">
        <f>M25+J27</f>
        <v>0.90405677745310364</v>
      </c>
      <c r="N27" s="378"/>
      <c r="O27" s="379"/>
      <c r="P27" s="377">
        <f>P25+M27</f>
        <v>1</v>
      </c>
      <c r="Q27" s="378"/>
      <c r="R27" s="379"/>
    </row>
    <row r="28" spans="1:19" s="241" customFormat="1" ht="12" customHeight="1">
      <c r="A28" s="241" t="s">
        <v>271</v>
      </c>
      <c r="B28" s="244"/>
      <c r="C28" s="245"/>
      <c r="D28" s="295"/>
      <c r="G28" s="295"/>
      <c r="J28" s="295"/>
      <c r="M28" s="295"/>
      <c r="P28" s="295"/>
    </row>
    <row r="29" spans="1:19" s="241" customFormat="1">
      <c r="A29" s="241" t="s">
        <v>272</v>
      </c>
      <c r="C29" s="245"/>
      <c r="D29" s="315"/>
      <c r="E29" s="295"/>
      <c r="F29" s="315"/>
      <c r="J29" s="295"/>
      <c r="K29" s="315"/>
    </row>
    <row r="30" spans="1:19" s="241" customFormat="1">
      <c r="A30" s="244"/>
      <c r="C30" s="245"/>
      <c r="D30" s="314"/>
      <c r="E30" s="295"/>
      <c r="F30" s="295"/>
      <c r="H30" s="295"/>
      <c r="I30" s="295"/>
      <c r="K30" s="295"/>
      <c r="L30" s="295"/>
      <c r="N30" s="295"/>
      <c r="O30" s="295"/>
      <c r="Q30" s="295"/>
      <c r="R30" s="295"/>
    </row>
    <row r="31" spans="1:19" s="241" customFormat="1">
      <c r="A31" s="244"/>
      <c r="C31" s="245"/>
      <c r="D31" s="314"/>
    </row>
    <row r="32" spans="1:19" s="241" customFormat="1">
      <c r="A32" s="244"/>
      <c r="C32" s="245"/>
    </row>
    <row r="33" spans="1:19" s="241" customFormat="1">
      <c r="A33" s="244"/>
      <c r="C33" s="245"/>
    </row>
    <row r="34" spans="1:19" s="241" customFormat="1" ht="13.15" customHeight="1">
      <c r="A34" s="395" t="str">
        <f>'Planilha Orçamentária'!G8</f>
        <v>NOME DO RESP. TÉCN.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297"/>
      <c r="R34" s="297"/>
      <c r="S34" s="246"/>
    </row>
    <row r="35" spans="1:19" s="241" customFormat="1">
      <c r="A35" s="396" t="str">
        <f>'Planilha Orçamentária'!L8</f>
        <v>N. CAU/CREA</v>
      </c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298"/>
      <c r="R35" s="298"/>
    </row>
    <row r="36" spans="1:19" s="241" customFormat="1">
      <c r="A36" s="244"/>
      <c r="C36" s="245"/>
    </row>
    <row r="37" spans="1:19" ht="12.75">
      <c r="A37" s="247"/>
      <c r="B37" s="248"/>
      <c r="C37" s="249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</row>
    <row r="38" spans="1:19" ht="12.75">
      <c r="A38" s="247"/>
      <c r="B38" s="248"/>
      <c r="C38" s="249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</row>
    <row r="39" spans="1:19" ht="12.75">
      <c r="A39" s="247"/>
      <c r="B39" s="248"/>
      <c r="C39" s="249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</row>
    <row r="40" spans="1:19" ht="12.75">
      <c r="A40" s="247"/>
      <c r="B40" s="248"/>
      <c r="C40" s="249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</row>
    <row r="41" spans="1:19" ht="12.75">
      <c r="A41" s="247"/>
      <c r="B41" s="248"/>
      <c r="C41" s="249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</row>
    <row r="42" spans="1:19" ht="12.75">
      <c r="A42" s="247"/>
      <c r="B42" s="248"/>
      <c r="C42" s="249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</row>
    <row r="43" spans="1:19" ht="12.75">
      <c r="A43" s="247"/>
      <c r="B43" s="248"/>
      <c r="C43" s="249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</row>
    <row r="44" spans="1:19" ht="12.75">
      <c r="A44" s="247"/>
      <c r="B44" s="248"/>
      <c r="C44" s="249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</row>
    <row r="45" spans="1:19" ht="12.75">
      <c r="A45" s="247"/>
      <c r="B45" s="248"/>
      <c r="C45" s="249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</row>
    <row r="46" spans="1:19" ht="12.75">
      <c r="A46" s="247"/>
      <c r="B46" s="248"/>
      <c r="C46" s="249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</row>
    <row r="47" spans="1:19" ht="12.75">
      <c r="A47" s="247"/>
      <c r="B47" s="248"/>
      <c r="C47" s="249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</row>
    <row r="48" spans="1:19" ht="12.75">
      <c r="A48" s="247"/>
      <c r="B48" s="248"/>
      <c r="C48" s="249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</row>
    <row r="49" spans="1:18" ht="12.75">
      <c r="A49" s="247"/>
      <c r="B49" s="248"/>
      <c r="C49" s="249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</row>
    <row r="50" spans="1:18" ht="12.75">
      <c r="A50" s="247"/>
      <c r="B50" s="248"/>
      <c r="C50" s="249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</row>
    <row r="51" spans="1:18" ht="12.75">
      <c r="A51" s="247"/>
      <c r="B51" s="248"/>
      <c r="C51" s="249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</row>
    <row r="52" spans="1:18" ht="12.75">
      <c r="A52" s="247"/>
      <c r="B52" s="248"/>
      <c r="C52" s="249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</row>
    <row r="53" spans="1:18" ht="12.75">
      <c r="A53" s="247"/>
      <c r="B53" s="248"/>
      <c r="C53" s="249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</row>
    <row r="54" spans="1:18" ht="12.75">
      <c r="A54" s="247"/>
      <c r="B54" s="248"/>
      <c r="C54" s="249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</row>
    <row r="55" spans="1:18" ht="12.75">
      <c r="A55" s="247"/>
      <c r="B55" s="248"/>
      <c r="C55" s="249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</row>
    <row r="56" spans="1:18" ht="12.75">
      <c r="A56" s="247"/>
      <c r="B56" s="248"/>
      <c r="C56" s="249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</row>
    <row r="57" spans="1:18" ht="12.75">
      <c r="A57" s="247"/>
      <c r="B57" s="248"/>
      <c r="C57" s="249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</row>
    <row r="58" spans="1:18" ht="12.75">
      <c r="A58" s="247"/>
      <c r="B58" s="248"/>
      <c r="C58" s="249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</row>
    <row r="59" spans="1:18" ht="12.75">
      <c r="A59" s="247"/>
      <c r="B59" s="248"/>
      <c r="C59" s="249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</row>
    <row r="60" spans="1:18" ht="12.75">
      <c r="A60" s="247"/>
      <c r="B60" s="248"/>
      <c r="C60" s="249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</row>
    <row r="61" spans="1:18" ht="12.75">
      <c r="A61" s="247"/>
      <c r="B61" s="248"/>
      <c r="C61" s="249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</row>
    <row r="62" spans="1:18" ht="12.75">
      <c r="A62" s="247"/>
      <c r="B62" s="248"/>
      <c r="C62" s="249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</row>
    <row r="63" spans="1:18" ht="12.75">
      <c r="A63" s="247"/>
      <c r="B63" s="248"/>
      <c r="C63" s="249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</row>
    <row r="64" spans="1:18" ht="12.75">
      <c r="A64" s="247"/>
      <c r="B64" s="248"/>
      <c r="C64" s="249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</row>
    <row r="65" spans="1:18" ht="12.75">
      <c r="A65" s="247"/>
      <c r="B65" s="248"/>
      <c r="C65" s="249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</row>
    <row r="66" spans="1:18" ht="12.75">
      <c r="A66" s="247"/>
      <c r="B66" s="248"/>
      <c r="C66" s="249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</row>
    <row r="67" spans="1:18" ht="12.75">
      <c r="A67" s="247"/>
      <c r="B67" s="248"/>
      <c r="C67" s="249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</row>
    <row r="68" spans="1:18" ht="12.75">
      <c r="A68" s="247"/>
      <c r="B68" s="248"/>
      <c r="C68" s="249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</row>
    <row r="69" spans="1:18" ht="12.75">
      <c r="A69" s="247"/>
      <c r="B69" s="248"/>
      <c r="C69" s="249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</row>
    <row r="70" spans="1:18" ht="12.75">
      <c r="A70" s="247"/>
      <c r="B70" s="248"/>
      <c r="C70" s="249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</row>
    <row r="71" spans="1:18" ht="12.75">
      <c r="A71" s="247"/>
      <c r="B71" s="248"/>
      <c r="C71" s="249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</row>
    <row r="72" spans="1:18" ht="12.75">
      <c r="A72" s="247"/>
      <c r="B72" s="248"/>
      <c r="C72" s="249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</row>
    <row r="73" spans="1:18" ht="12.75">
      <c r="A73" s="247"/>
      <c r="B73" s="248"/>
      <c r="C73" s="249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</row>
    <row r="74" spans="1:18" ht="12.75">
      <c r="A74" s="247"/>
      <c r="B74" s="248"/>
      <c r="C74" s="249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</row>
    <row r="75" spans="1:18" ht="12.75">
      <c r="A75" s="247"/>
      <c r="B75" s="248"/>
      <c r="C75" s="249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</row>
    <row r="76" spans="1:18" ht="12.75">
      <c r="A76" s="247"/>
      <c r="B76" s="248"/>
      <c r="C76" s="249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</row>
    <row r="77" spans="1:18" ht="12.75">
      <c r="A77" s="247"/>
      <c r="B77" s="248"/>
      <c r="C77" s="249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</row>
    <row r="78" spans="1:18" ht="12.75">
      <c r="A78" s="247"/>
      <c r="B78" s="248"/>
      <c r="C78" s="249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</row>
    <row r="79" spans="1:18" ht="12.75">
      <c r="A79" s="247"/>
      <c r="B79" s="248"/>
      <c r="C79" s="249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</row>
    <row r="80" spans="1:18" ht="12.75">
      <c r="A80" s="247"/>
      <c r="B80" s="248"/>
      <c r="C80" s="249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</row>
    <row r="81" spans="1:18" ht="12.75">
      <c r="A81" s="247"/>
      <c r="B81" s="248"/>
      <c r="C81" s="249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</row>
    <row r="82" spans="1:18" ht="12.75">
      <c r="A82" s="247"/>
      <c r="B82" s="248"/>
      <c r="C82" s="249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</row>
    <row r="83" spans="1:18" ht="12.75">
      <c r="A83" s="247"/>
      <c r="B83" s="248"/>
      <c r="C83" s="249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</row>
    <row r="84" spans="1:18" ht="12.75">
      <c r="A84" s="247"/>
      <c r="B84" s="248"/>
      <c r="C84" s="249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</row>
    <row r="85" spans="1:18" ht="12.75">
      <c r="A85" s="247"/>
      <c r="B85" s="248"/>
      <c r="C85" s="249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</row>
    <row r="86" spans="1:18" ht="12.75">
      <c r="A86" s="247"/>
      <c r="B86" s="248"/>
      <c r="C86" s="249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</row>
    <row r="87" spans="1:18" ht="12.75">
      <c r="A87" s="247"/>
      <c r="B87" s="248"/>
      <c r="C87" s="249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</row>
    <row r="88" spans="1:18" ht="12.75">
      <c r="A88" s="247"/>
      <c r="B88" s="248"/>
      <c r="C88" s="249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</row>
    <row r="89" spans="1:18" ht="12.75">
      <c r="A89" s="247"/>
      <c r="B89" s="248"/>
      <c r="C89" s="249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</row>
    <row r="90" spans="1:18" ht="12.75">
      <c r="A90" s="247"/>
      <c r="B90" s="248"/>
      <c r="C90" s="249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</row>
    <row r="91" spans="1:18" ht="12.75">
      <c r="A91" s="247"/>
      <c r="B91" s="248"/>
      <c r="C91" s="249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</row>
    <row r="92" spans="1:18" ht="12.75">
      <c r="A92" s="247"/>
      <c r="B92" s="248"/>
      <c r="C92" s="249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</row>
    <row r="93" spans="1:18" ht="12.75">
      <c r="A93" s="247"/>
      <c r="B93" s="248"/>
      <c r="C93" s="249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</row>
    <row r="94" spans="1:18" ht="12.75">
      <c r="A94" s="247"/>
      <c r="B94" s="248"/>
      <c r="C94" s="249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</row>
    <row r="95" spans="1:18" ht="12.75">
      <c r="A95" s="247"/>
      <c r="B95" s="248"/>
      <c r="C95" s="249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</row>
    <row r="96" spans="1:18" ht="12.75">
      <c r="A96" s="247"/>
      <c r="B96" s="248"/>
      <c r="C96" s="249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</row>
    <row r="97" spans="1:18" ht="12.75">
      <c r="A97" s="247"/>
      <c r="B97" s="248"/>
      <c r="C97" s="249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</row>
    <row r="98" spans="1:18" ht="12.75">
      <c r="A98" s="247"/>
      <c r="B98" s="248"/>
      <c r="C98" s="249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</row>
    <row r="99" spans="1:18" ht="12.75">
      <c r="A99" s="247"/>
      <c r="B99" s="248"/>
      <c r="C99" s="249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</row>
    <row r="100" spans="1:18" ht="12.75">
      <c r="A100" s="247"/>
      <c r="B100" s="248"/>
      <c r="C100" s="249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</row>
    <row r="101" spans="1:18" ht="12.75">
      <c r="A101" s="247"/>
      <c r="B101" s="248"/>
      <c r="C101" s="249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</row>
    <row r="102" spans="1:18" ht="12.75">
      <c r="A102" s="247"/>
      <c r="B102" s="248"/>
      <c r="C102" s="249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</row>
    <row r="103" spans="1:18" ht="12.75">
      <c r="A103" s="247"/>
      <c r="B103" s="248"/>
      <c r="C103" s="249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</row>
    <row r="104" spans="1:18" ht="12.75">
      <c r="A104" s="247"/>
      <c r="B104" s="248"/>
      <c r="C104" s="249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</row>
    <row r="105" spans="1:18" ht="12.75">
      <c r="A105" s="247"/>
      <c r="B105" s="248"/>
      <c r="C105" s="249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</row>
    <row r="106" spans="1:18" ht="12.75">
      <c r="A106" s="247"/>
      <c r="B106" s="248"/>
      <c r="C106" s="249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</row>
    <row r="107" spans="1:18" ht="12.75">
      <c r="A107" s="247"/>
      <c r="B107" s="248"/>
      <c r="C107" s="249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</row>
    <row r="108" spans="1:18" ht="12.75">
      <c r="A108" s="247"/>
      <c r="B108" s="248"/>
      <c r="C108" s="249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</row>
    <row r="109" spans="1:18" ht="12.75">
      <c r="A109" s="247"/>
      <c r="B109" s="248"/>
      <c r="C109" s="249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</row>
  </sheetData>
  <sheetProtection password="D8B3" sheet="1" objects="1" scenarios="1" selectLockedCells="1"/>
  <customSheetViews>
    <customSheetView guid="{77FD295D-1BCD-41C6-B306-76E0FF93C8E4}" scale="93" showPageBreaks="1" showGridLines="0" printArea="1" view="pageBreakPreview">
      <selection activeCell="A2" sqref="A2"/>
      <pageMargins left="0.43307086614173229" right="0" top="0.78740157480314965" bottom="0.55118110236220474" header="0" footer="0.35433070866141736"/>
      <printOptions horizontalCentered="1"/>
      <pageSetup paperSize="9" scale="75" fitToHeight="0" orientation="landscape" horizontalDpi="300" verticalDpi="300" r:id="rId1"/>
      <headerFooter alignWithMargins="0"/>
    </customSheetView>
  </customSheetViews>
  <mergeCells count="38">
    <mergeCell ref="A3:P3"/>
    <mergeCell ref="A34:P34"/>
    <mergeCell ref="A35:P35"/>
    <mergeCell ref="A13:P13"/>
    <mergeCell ref="A11:P11"/>
    <mergeCell ref="A27:C27"/>
    <mergeCell ref="A23:B23"/>
    <mergeCell ref="A24:C24"/>
    <mergeCell ref="A25:C25"/>
    <mergeCell ref="A26:C26"/>
    <mergeCell ref="A15:A16"/>
    <mergeCell ref="B15:B16"/>
    <mergeCell ref="C15:C16"/>
    <mergeCell ref="D15:F15"/>
    <mergeCell ref="G15:I15"/>
    <mergeCell ref="J15:L15"/>
    <mergeCell ref="M15:O15"/>
    <mergeCell ref="P15:R15"/>
    <mergeCell ref="D24:F24"/>
    <mergeCell ref="D26:F26"/>
    <mergeCell ref="D27:F27"/>
    <mergeCell ref="G24:I24"/>
    <mergeCell ref="G26:I26"/>
    <mergeCell ref="G27:I27"/>
    <mergeCell ref="J24:L24"/>
    <mergeCell ref="J26:L26"/>
    <mergeCell ref="J27:L27"/>
    <mergeCell ref="M24:O24"/>
    <mergeCell ref="M26:O26"/>
    <mergeCell ref="M27:O27"/>
    <mergeCell ref="P24:R24"/>
    <mergeCell ref="P26:R26"/>
    <mergeCell ref="P27:R27"/>
    <mergeCell ref="D25:F25"/>
    <mergeCell ref="G25:I25"/>
    <mergeCell ref="J25:L25"/>
    <mergeCell ref="M25:O25"/>
    <mergeCell ref="P25:R25"/>
  </mergeCells>
  <phoneticPr fontId="0" type="noConversion"/>
  <printOptions horizontalCentered="1" verticalCentered="1"/>
  <pageMargins left="0.43307086614173229" right="0" top="0.78740157480314965" bottom="0.55118110236220474" header="0" footer="0.35433070866141736"/>
  <pageSetup paperSize="9" scale="75" fitToHeight="0" orientation="landscape" verticalDpi="598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J30"/>
  <sheetViews>
    <sheetView showGridLines="0" view="pageLayout" topLeftCell="A10" zoomScale="130" zoomScaleSheetLayoutView="130" zoomScalePageLayoutView="130" workbookViewId="0">
      <selection activeCell="F18" sqref="F18"/>
    </sheetView>
  </sheetViews>
  <sheetFormatPr defaultColWidth="9.140625" defaultRowHeight="11.25"/>
  <cols>
    <col min="1" max="1" width="8.7109375" style="229" customWidth="1"/>
    <col min="2" max="2" width="38" style="16" customWidth="1"/>
    <col min="3" max="3" width="9.140625" style="16" hidden="1" customWidth="1"/>
    <col min="4" max="4" width="8.140625" style="23" hidden="1" customWidth="1"/>
    <col min="5" max="5" width="10.85546875" style="23" hidden="1" customWidth="1"/>
    <col min="6" max="6" width="20.42578125" style="23" customWidth="1"/>
    <col min="7" max="7" width="38" style="16" customWidth="1"/>
    <col min="8" max="8" width="9.140625" style="16"/>
    <col min="9" max="9" width="11.140625" style="16" bestFit="1" customWidth="1"/>
    <col min="10" max="10" width="9.140625" style="16"/>
    <col min="11" max="11" width="9.85546875" style="16" bestFit="1" customWidth="1"/>
    <col min="12" max="16384" width="9.140625" style="16"/>
  </cols>
  <sheetData>
    <row r="1" spans="1:10" s="3" customFormat="1" ht="54.75" customHeight="1">
      <c r="A1" s="53"/>
      <c r="B1" s="228" t="s">
        <v>216</v>
      </c>
      <c r="C1" s="56"/>
      <c r="D1" s="53"/>
      <c r="E1" s="1"/>
      <c r="F1" s="1"/>
    </row>
    <row r="2" spans="1:10" s="2" customFormat="1" ht="15" customHeight="1">
      <c r="A2" s="180"/>
      <c r="B2" s="182"/>
      <c r="C2" s="181"/>
      <c r="D2" s="181"/>
      <c r="E2" s="181"/>
      <c r="F2" s="181"/>
      <c r="G2" s="181"/>
    </row>
    <row r="3" spans="1:10" s="2" customFormat="1" ht="13.15" customHeight="1">
      <c r="A3" s="180"/>
      <c r="B3" s="182"/>
      <c r="C3" s="181"/>
      <c r="D3" s="181"/>
      <c r="E3" s="181"/>
      <c r="F3" s="181"/>
      <c r="G3" s="181"/>
    </row>
    <row r="4" spans="1:10" s="2" customFormat="1" ht="15.75">
      <c r="A4" s="408" t="str">
        <f>'Planilha Orçamentária'!A3:L3</f>
        <v>ÓRGÃO CONTRATANTE: JUSTIÇA FEDERAL DE PRIMEIRO GRAU - SEÇÃO JUDICIÁRIA DO PARÁ</v>
      </c>
      <c r="B4" s="408"/>
      <c r="C4" s="408"/>
      <c r="D4" s="408"/>
      <c r="E4" s="408"/>
      <c r="F4" s="408"/>
      <c r="G4" s="408"/>
    </row>
    <row r="5" spans="1:10" s="2" customFormat="1" ht="12.75">
      <c r="A5" s="183"/>
      <c r="B5" s="184"/>
      <c r="C5" s="185"/>
      <c r="D5" s="186"/>
      <c r="E5" s="187"/>
      <c r="F5" s="187"/>
      <c r="G5" s="188"/>
    </row>
    <row r="6" spans="1:10" s="2" customFormat="1" ht="18" customHeight="1">
      <c r="A6" s="411" t="str">
        <f>'Planilha Orçamentária'!A8</f>
        <v>NOME DA EMPRESA:</v>
      </c>
      <c r="B6" s="412"/>
      <c r="C6" s="412"/>
      <c r="D6" s="412"/>
      <c r="E6" s="412"/>
      <c r="F6" s="412"/>
      <c r="G6" s="412"/>
      <c r="H6" s="1"/>
      <c r="I6" s="1"/>
      <c r="J6" s="1"/>
    </row>
    <row r="7" spans="1:10" s="2" customFormat="1" ht="12.75">
      <c r="A7" s="417" t="str">
        <f>'Planilha Orçamentária'!B9</f>
        <v>XX.YYY.ZZZ/AAAA-BB</v>
      </c>
      <c r="B7" s="417"/>
      <c r="C7" s="417"/>
      <c r="D7" s="417"/>
      <c r="E7" s="417"/>
      <c r="F7" s="417"/>
      <c r="G7" s="417"/>
      <c r="H7" s="155"/>
      <c r="I7" s="155"/>
      <c r="J7" s="155"/>
    </row>
    <row r="8" spans="1:10" s="2" customFormat="1" ht="12.75">
      <c r="A8" s="189"/>
      <c r="B8" s="190"/>
      <c r="C8" s="190"/>
      <c r="D8" s="190"/>
      <c r="E8" s="190"/>
      <c r="F8" s="190"/>
      <c r="G8" s="190"/>
      <c r="H8" s="58"/>
      <c r="I8" s="58"/>
      <c r="J8" s="58"/>
    </row>
    <row r="9" spans="1:10" s="2" customFormat="1" ht="12.75">
      <c r="A9" s="191"/>
      <c r="B9" s="192"/>
      <c r="C9" s="192"/>
      <c r="D9" s="192"/>
      <c r="E9" s="192"/>
      <c r="F9" s="192"/>
      <c r="G9" s="192"/>
    </row>
    <row r="10" spans="1:10" s="2" customFormat="1" ht="12.75">
      <c r="A10" s="193" t="s">
        <v>197</v>
      </c>
      <c r="B10" s="194" t="str">
        <f>'Planilha Orçamentária'!A5</f>
        <v>ELABORAÇÃO DE PROJETOS PARA A CONSTRUÇÃO DO EDIFÍCIO SEDE DA SUBSEÇÃO JUDICIÁRIA DE ITAITUBA</v>
      </c>
      <c r="C10" s="194"/>
      <c r="D10" s="194"/>
      <c r="E10" s="194"/>
      <c r="F10" s="194"/>
      <c r="G10" s="194"/>
    </row>
    <row r="11" spans="1:10" s="2" customFormat="1" ht="12.75">
      <c r="A11" s="193" t="s">
        <v>208</v>
      </c>
      <c r="B11" s="190"/>
      <c r="C11" s="192"/>
      <c r="D11" s="192"/>
      <c r="E11" s="192"/>
      <c r="F11" s="190">
        <f>'Planilha Orçamentária'!I14</f>
        <v>218</v>
      </c>
      <c r="G11" s="192"/>
    </row>
    <row r="12" spans="1:10" s="2" customFormat="1" ht="12.75">
      <c r="A12" s="190" t="s">
        <v>203</v>
      </c>
      <c r="B12" s="192"/>
      <c r="C12" s="192"/>
      <c r="D12" s="192"/>
      <c r="E12" s="192"/>
      <c r="F12" s="195" t="str">
        <f>'Planilha Orçamentária'!I9</f>
        <v>dd/mm/2015</v>
      </c>
      <c r="G12" s="192"/>
    </row>
    <row r="13" spans="1:10" s="2" customFormat="1" ht="12.75">
      <c r="A13" s="156"/>
      <c r="B13" s="155"/>
      <c r="C13" s="155"/>
      <c r="D13" s="155"/>
      <c r="E13" s="155"/>
      <c r="F13" s="155"/>
      <c r="G13" s="155"/>
    </row>
    <row r="14" spans="1:10" ht="24.75" customHeight="1">
      <c r="A14" s="416" t="s">
        <v>3</v>
      </c>
      <c r="B14" s="416"/>
      <c r="C14" s="416"/>
      <c r="D14" s="416"/>
      <c r="E14" s="416"/>
      <c r="F14" s="416"/>
      <c r="G14" s="416"/>
    </row>
    <row r="15" spans="1:10" ht="24.75" customHeight="1">
      <c r="A15" s="157"/>
      <c r="B15" s="157"/>
      <c r="C15" s="157"/>
      <c r="D15" s="157"/>
      <c r="E15" s="157"/>
      <c r="F15" s="157"/>
      <c r="G15" s="157"/>
    </row>
    <row r="16" spans="1:10" ht="12.75">
      <c r="A16" s="415" t="s">
        <v>39</v>
      </c>
      <c r="B16" s="415"/>
      <c r="C16" s="415"/>
      <c r="D16" s="415"/>
      <c r="E16" s="415"/>
      <c r="F16" s="415"/>
      <c r="G16" s="415"/>
    </row>
    <row r="17" spans="1:7" ht="18" customHeight="1">
      <c r="A17" s="158" t="s">
        <v>4</v>
      </c>
      <c r="B17" s="159" t="s">
        <v>5</v>
      </c>
      <c r="C17" s="158" t="s">
        <v>6</v>
      </c>
      <c r="D17" s="160" t="s">
        <v>7</v>
      </c>
      <c r="E17" s="160" t="s">
        <v>8</v>
      </c>
      <c r="F17" s="161" t="s">
        <v>194</v>
      </c>
      <c r="G17" s="162" t="s">
        <v>248</v>
      </c>
    </row>
    <row r="18" spans="1:7" ht="15.75" customHeight="1">
      <c r="A18" s="163" t="s">
        <v>21</v>
      </c>
      <c r="B18" s="164" t="s">
        <v>263</v>
      </c>
      <c r="C18" s="165"/>
      <c r="D18" s="166"/>
      <c r="E18" s="166"/>
      <c r="F18" s="171">
        <f>'Cronograma Físico-Financeiro'!C17</f>
        <v>35415.754731199995</v>
      </c>
      <c r="G18" s="167">
        <f>F18/$F$23</f>
        <v>8.8539385804484644E-2</v>
      </c>
    </row>
    <row r="19" spans="1:7" ht="17.25" customHeight="1">
      <c r="A19" s="168" t="s">
        <v>22</v>
      </c>
      <c r="B19" s="169" t="s">
        <v>51</v>
      </c>
      <c r="C19" s="169"/>
      <c r="D19" s="169"/>
      <c r="E19" s="169"/>
      <c r="F19" s="170">
        <f>'Planilha Orçamentária'!I30</f>
        <v>57565.934193600013</v>
      </c>
      <c r="G19" s="167">
        <f t="shared" ref="G19:G22" si="0">F19/$F$23</f>
        <v>0.14391483382034448</v>
      </c>
    </row>
    <row r="20" spans="1:7" ht="15.95" customHeight="1">
      <c r="A20" s="163" t="s">
        <v>23</v>
      </c>
      <c r="B20" s="164" t="s">
        <v>52</v>
      </c>
      <c r="C20" s="164"/>
      <c r="D20" s="164"/>
      <c r="E20" s="164"/>
      <c r="F20" s="171">
        <f>'Planilha Orçamentária'!I57</f>
        <v>172697.80258080005</v>
      </c>
      <c r="G20" s="167">
        <f t="shared" si="0"/>
        <v>0.43174450146103349</v>
      </c>
    </row>
    <row r="21" spans="1:7" ht="15.95" customHeight="1">
      <c r="A21" s="163" t="s">
        <v>24</v>
      </c>
      <c r="B21" s="164" t="s">
        <v>56</v>
      </c>
      <c r="C21" s="164"/>
      <c r="D21" s="164"/>
      <c r="E21" s="164"/>
      <c r="F21" s="171">
        <f>'Planilha Orçamentária'!I89</f>
        <v>95943.223656000075</v>
      </c>
      <c r="G21" s="167">
        <f t="shared" si="0"/>
        <v>0.23985805636724095</v>
      </c>
    </row>
    <row r="22" spans="1:7" ht="15.75" customHeight="1">
      <c r="A22" s="168" t="s">
        <v>25</v>
      </c>
      <c r="B22" s="172" t="s">
        <v>183</v>
      </c>
      <c r="C22" s="169"/>
      <c r="D22" s="169"/>
      <c r="E22" s="169"/>
      <c r="F22" s="170">
        <f>'Planilha Orçamentária'!I123</f>
        <v>38377.289462400011</v>
      </c>
      <c r="G22" s="167">
        <f t="shared" si="0"/>
        <v>9.5943222546896328E-2</v>
      </c>
    </row>
    <row r="23" spans="1:7" ht="15.95" customHeight="1">
      <c r="A23" s="413" t="s">
        <v>195</v>
      </c>
      <c r="B23" s="414"/>
      <c r="C23" s="414"/>
      <c r="D23" s="414"/>
      <c r="E23" s="414"/>
      <c r="F23" s="212">
        <f>SUM(F18:F22)</f>
        <v>400000.00462400017</v>
      </c>
      <c r="G23" s="312">
        <f>SUM(G18:G22)</f>
        <v>1</v>
      </c>
    </row>
    <row r="24" spans="1:7">
      <c r="A24" s="21"/>
      <c r="B24" s="173"/>
      <c r="C24" s="173"/>
      <c r="D24" s="174"/>
      <c r="E24" s="174"/>
      <c r="F24" s="174"/>
    </row>
    <row r="25" spans="1:7">
      <c r="A25" s="21"/>
      <c r="B25" s="173"/>
      <c r="C25" s="173"/>
      <c r="D25" s="174"/>
      <c r="E25" s="174"/>
      <c r="F25" s="174"/>
    </row>
    <row r="26" spans="1:7">
      <c r="B26" s="173"/>
      <c r="C26" s="173"/>
      <c r="D26" s="174"/>
      <c r="E26" s="174"/>
      <c r="F26" s="174"/>
      <c r="G26" s="170"/>
    </row>
    <row r="27" spans="1:7" ht="23.45" customHeight="1">
      <c r="B27" s="173"/>
      <c r="C27" s="173"/>
      <c r="D27" s="174"/>
      <c r="E27" s="174"/>
      <c r="F27" s="175"/>
    </row>
    <row r="28" spans="1:7">
      <c r="A28" s="409" t="str">
        <f>'Planilha Orçamentária'!G8</f>
        <v>NOME DO RESP. TÉCN.</v>
      </c>
      <c r="B28" s="409"/>
      <c r="C28" s="409"/>
      <c r="D28" s="409"/>
      <c r="E28" s="409"/>
      <c r="F28" s="409"/>
      <c r="G28" s="409"/>
    </row>
    <row r="29" spans="1:7">
      <c r="A29" s="410" t="str">
        <f>'Planilha Orçamentária'!L8</f>
        <v>N. CAU/CREA</v>
      </c>
      <c r="B29" s="410"/>
      <c r="C29" s="410"/>
      <c r="D29" s="410"/>
      <c r="E29" s="410"/>
      <c r="F29" s="410"/>
      <c r="G29" s="410"/>
    </row>
    <row r="30" spans="1:7">
      <c r="B30" s="176"/>
      <c r="C30" s="176"/>
      <c r="D30" s="177"/>
      <c r="E30" s="177"/>
      <c r="F30" s="177"/>
    </row>
  </sheetData>
  <sheetProtection password="D8B3" sheet="1" objects="1" scenarios="1" selectLockedCells="1"/>
  <customSheetViews>
    <customSheetView guid="{77FD295D-1BCD-41C6-B306-76E0FF93C8E4}" scale="85" showPageBreaks="1" showGridLines="0" fitToPage="1" printArea="1" hiddenColumns="1" view="pageBreakPreview">
      <selection activeCell="A3" sqref="A3:A4"/>
      <pageMargins left="0.39370078740157483" right="0.39370078740157483" top="0.39370078740157483" bottom="0.39370078740157483" header="0" footer="0"/>
      <printOptions horizontalCentered="1"/>
      <pageSetup paperSize="9" fitToHeight="0" orientation="portrait" horizontalDpi="300" verticalDpi="300" r:id="rId1"/>
      <headerFooter alignWithMargins="0"/>
    </customSheetView>
  </customSheetViews>
  <mergeCells count="8">
    <mergeCell ref="A4:G4"/>
    <mergeCell ref="A28:G28"/>
    <mergeCell ref="A29:G29"/>
    <mergeCell ref="A6:G6"/>
    <mergeCell ref="A23:E23"/>
    <mergeCell ref="A16:G16"/>
    <mergeCell ref="A14:G14"/>
    <mergeCell ref="A7:G7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fitToHeight="0" orientation="landscape" verticalDpi="598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E29"/>
  <sheetViews>
    <sheetView view="pageLayout" topLeftCell="A4" zoomScale="145" zoomScaleSheetLayoutView="115" zoomScalePageLayoutView="145" workbookViewId="0">
      <selection activeCell="D18" sqref="D18"/>
    </sheetView>
  </sheetViews>
  <sheetFormatPr defaultColWidth="9.140625" defaultRowHeight="12.75"/>
  <cols>
    <col min="1" max="1" width="7.28515625" style="40" customWidth="1"/>
    <col min="2" max="2" width="3.5703125" style="40" customWidth="1"/>
    <col min="3" max="3" width="32.5703125" style="48" customWidth="1"/>
    <col min="4" max="4" width="18.5703125" style="40" customWidth="1"/>
    <col min="5" max="5" width="20" style="40" customWidth="1"/>
    <col min="6" max="16384" width="9.140625" style="40"/>
  </cols>
  <sheetData>
    <row r="1" spans="1:5" s="3" customFormat="1" ht="41.45" customHeight="1">
      <c r="A1" s="1"/>
      <c r="B1" s="421" t="s">
        <v>210</v>
      </c>
      <c r="C1" s="422"/>
      <c r="D1" s="1"/>
      <c r="E1" s="1"/>
    </row>
    <row r="2" spans="1:5" s="3" customFormat="1" ht="15">
      <c r="A2" s="1"/>
      <c r="C2" s="39"/>
      <c r="D2" s="1"/>
      <c r="E2" s="1"/>
    </row>
    <row r="3" spans="1:5" s="3" customFormat="1" ht="15">
      <c r="A3" s="1"/>
      <c r="C3" s="39"/>
      <c r="D3" s="1"/>
      <c r="E3" s="1"/>
    </row>
    <row r="4" spans="1:5" s="255" customFormat="1">
      <c r="A4" s="255" t="str">
        <f>'Planilha Orçamentária'!A3</f>
        <v>ÓRGÃO CONTRATANTE: JUSTIÇA FEDERAL DE PRIMEIRO GRAU - SEÇÃO JUDICIÁRIA DO PARÁ</v>
      </c>
      <c r="C4" s="256"/>
      <c r="E4" s="257"/>
    </row>
    <row r="6" spans="1:5" s="42" customFormat="1" ht="16.899999999999999" customHeight="1">
      <c r="A6" s="92" t="s">
        <v>114</v>
      </c>
      <c r="B6" s="41"/>
      <c r="C6" s="178" t="str">
        <f>'Planilha Orçamentária'!A8</f>
        <v>NOME DA EMPRESA:</v>
      </c>
      <c r="D6" s="41"/>
      <c r="E6" s="41"/>
    </row>
    <row r="7" spans="1:5" s="42" customFormat="1" ht="21" customHeight="1">
      <c r="A7" s="43" t="s">
        <v>188</v>
      </c>
      <c r="B7" s="43"/>
      <c r="C7" s="179" t="str">
        <f>'Planilha Orçamentária'!B9</f>
        <v>XX.YYY.ZZZ/AAAA-BB</v>
      </c>
      <c r="D7" s="43"/>
      <c r="E7" s="43"/>
    </row>
    <row r="8" spans="1:5" s="42" customFormat="1">
      <c r="A8" s="431"/>
      <c r="B8" s="431"/>
      <c r="C8" s="431"/>
      <c r="D8" s="431"/>
      <c r="E8" s="431"/>
    </row>
    <row r="9" spans="1:5" s="42" customFormat="1">
      <c r="A9" s="44"/>
      <c r="B9" s="44"/>
      <c r="C9" s="44"/>
      <c r="D9" s="44"/>
      <c r="E9" s="44"/>
    </row>
    <row r="10" spans="1:5" s="45" customFormat="1" ht="34.15" customHeight="1">
      <c r="A10" s="432" t="str">
        <f>'Planilha Orçamentária'!A5:L5</f>
        <v>ELABORAÇÃO DE PROJETOS PARA A CONSTRUÇÃO DO EDIFÍCIO SEDE DA SUBSEÇÃO JUDICIÁRIA DE ITAITUBA</v>
      </c>
      <c r="B10" s="432"/>
      <c r="C10" s="432"/>
      <c r="D10" s="432"/>
      <c r="E10" s="432"/>
    </row>
    <row r="11" spans="1:5" s="45" customFormat="1">
      <c r="A11" s="50"/>
      <c r="B11" s="50"/>
      <c r="C11" s="50"/>
      <c r="D11" s="50"/>
      <c r="E11" s="50"/>
    </row>
    <row r="12" spans="1:5" s="45" customFormat="1" ht="15">
      <c r="B12" s="50" t="str">
        <f>'Planilha Orçamentária'!E14</f>
        <v xml:space="preserve">PRAZO DE EXECUÇÃO-DIAS CORRIDOS: </v>
      </c>
      <c r="C12" s="50"/>
      <c r="D12" s="52">
        <f>'Planilha Orçamentária'!I14</f>
        <v>218</v>
      </c>
      <c r="E12" s="50"/>
    </row>
    <row r="13" spans="1:5" s="45" customFormat="1">
      <c r="B13" s="50" t="str">
        <f>'Planilha Orçamentária'!E9</f>
        <v>DATA DA APRES. DA PROPOSTA:</v>
      </c>
      <c r="C13" s="50"/>
      <c r="D13" s="89" t="str">
        <f>'Planilha Orçamentária'!I9</f>
        <v>dd/mm/2015</v>
      </c>
      <c r="E13" s="50"/>
    </row>
    <row r="14" spans="1:5" s="45" customFormat="1">
      <c r="A14" s="46"/>
      <c r="B14" s="46"/>
      <c r="C14" s="47"/>
      <c r="D14" s="46"/>
      <c r="E14" s="46"/>
    </row>
    <row r="15" spans="1:5" s="42" customFormat="1">
      <c r="A15" s="424"/>
      <c r="B15" s="424"/>
      <c r="C15" s="424"/>
      <c r="D15" s="424"/>
      <c r="E15" s="424"/>
    </row>
    <row r="16" spans="1:5" s="42" customFormat="1" ht="15.75" customHeight="1">
      <c r="A16" s="419" t="s">
        <v>196</v>
      </c>
      <c r="B16" s="419"/>
      <c r="C16" s="419"/>
      <c r="D16" s="90"/>
      <c r="E16" s="91">
        <f>'Planilha Orçamentária'!I138</f>
        <v>400000.00462400017</v>
      </c>
    </row>
    <row r="17" spans="1:5" ht="15.75" customHeight="1">
      <c r="D17" s="49"/>
    </row>
    <row r="18" spans="1:5" ht="15.75" customHeight="1">
      <c r="D18" s="49"/>
    </row>
    <row r="19" spans="1:5" ht="15.75" customHeight="1">
      <c r="C19" s="51"/>
    </row>
    <row r="20" spans="1:5" ht="15.75" customHeight="1"/>
    <row r="21" spans="1:5" ht="15.75" customHeight="1">
      <c r="A21" s="425"/>
      <c r="B21" s="426"/>
      <c r="C21" s="426"/>
      <c r="D21" s="426"/>
      <c r="E21" s="426"/>
    </row>
    <row r="22" spans="1:5" ht="15.75" customHeight="1">
      <c r="A22" s="427" t="str">
        <f>'Planilha Orçamentária'!G8</f>
        <v>NOME DO RESP. TÉCN.</v>
      </c>
      <c r="B22" s="428"/>
      <c r="C22" s="428"/>
      <c r="D22" s="428"/>
      <c r="E22" s="428"/>
    </row>
    <row r="23" spans="1:5" ht="15.75" customHeight="1">
      <c r="A23" s="420" t="str">
        <f>'Planilha Orçamentária'!L8</f>
        <v>N. CAU/CREA</v>
      </c>
      <c r="B23" s="420"/>
      <c r="C23" s="420"/>
      <c r="D23" s="420"/>
      <c r="E23" s="420"/>
    </row>
    <row r="24" spans="1:5">
      <c r="A24" s="429"/>
      <c r="B24" s="429"/>
      <c r="C24" s="429"/>
      <c r="D24" s="429"/>
      <c r="E24" s="429"/>
    </row>
    <row r="25" spans="1:5">
      <c r="A25" s="429"/>
      <c r="B25" s="429"/>
      <c r="C25" s="429"/>
      <c r="D25" s="429"/>
      <c r="E25" s="429"/>
    </row>
    <row r="27" spans="1:5">
      <c r="A27" s="430"/>
      <c r="B27" s="430"/>
      <c r="C27" s="430"/>
      <c r="D27" s="430"/>
      <c r="E27" s="430"/>
    </row>
    <row r="28" spans="1:5">
      <c r="A28" s="423"/>
      <c r="B28" s="423"/>
      <c r="C28" s="423"/>
      <c r="D28" s="423"/>
      <c r="E28" s="423"/>
    </row>
    <row r="29" spans="1:5" s="226" customFormat="1" ht="11.25">
      <c r="A29" s="418" t="s">
        <v>258</v>
      </c>
      <c r="B29" s="418"/>
      <c r="C29" s="418"/>
      <c r="D29" s="418"/>
      <c r="E29" s="418"/>
    </row>
  </sheetData>
  <sheetProtection password="D8B3" sheet="1" objects="1" scenarios="1" selectLockedCells="1"/>
  <customSheetViews>
    <customSheetView guid="{77FD295D-1BCD-41C6-B306-76E0FF93C8E4}" scale="85" showPageBreaks="1" showGridLines="0" printArea="1" view="pageBreakPreview">
      <selection activeCell="A5" sqref="A5:E5"/>
      <rowBreaks count="1" manualBreakCount="1">
        <brk id="37" max="16383" man="1"/>
      </rowBreaks>
      <pageMargins left="0.39370078740157483" right="0.39370078740157483" top="0.78740157480314965" bottom="0.39370078740157483" header="0.51181102362204722" footer="0.51181102362204722"/>
      <printOptions horizontalCentered="1"/>
      <pageSetup paperSize="9" scale="111" orientation="landscape" r:id="rId1"/>
      <headerFooter alignWithMargins="0"/>
    </customSheetView>
  </customSheetViews>
  <mergeCells count="13">
    <mergeCell ref="A29:E29"/>
    <mergeCell ref="A16:C16"/>
    <mergeCell ref="A23:E23"/>
    <mergeCell ref="B1:C1"/>
    <mergeCell ref="A28:E28"/>
    <mergeCell ref="A15:E15"/>
    <mergeCell ref="A21:E21"/>
    <mergeCell ref="A22:E22"/>
    <mergeCell ref="A24:E24"/>
    <mergeCell ref="A25:E25"/>
    <mergeCell ref="A27:E27"/>
    <mergeCell ref="A8:E8"/>
    <mergeCell ref="A10:E10"/>
  </mergeCells>
  <phoneticPr fontId="0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111" orientation="landscape" verticalDpi="598" r:id="rId2"/>
  <headerFooter alignWithMargins="0"/>
  <rowBreaks count="1" manualBreakCount="1">
    <brk id="3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Planilha Orçamentária</vt:lpstr>
      <vt:lpstr>Composição do BDI</vt:lpstr>
      <vt:lpstr>Cronograma Físico-Financeiro</vt:lpstr>
      <vt:lpstr>Orçamento Sintético</vt:lpstr>
      <vt:lpstr>CAPA</vt:lpstr>
      <vt:lpstr>CAPA!Area_de_impressao</vt:lpstr>
      <vt:lpstr>'Composição do BDI'!Area_de_impressao</vt:lpstr>
      <vt:lpstr>'Cronograma Físico-Financeiro'!Area_de_impressao</vt:lpstr>
      <vt:lpstr>'Orçamento Sintético'!Area_de_impressao</vt:lpstr>
      <vt:lpstr>'Planilha Orçamentária'!Area_de_impressao</vt:lpstr>
      <vt:lpstr>'Cronograma Físico-Financeiro'!Titulos_de_impressao</vt:lpstr>
      <vt:lpstr>'Orçamento Sintético'!Titulos_de_impressao</vt:lpstr>
      <vt:lpstr>'Planilha Orçamentária'!Titulos_de_impressao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LEITE</dc:creator>
  <cp:lastModifiedBy>Edvan</cp:lastModifiedBy>
  <cp:lastPrinted>2015-06-17T12:41:29Z</cp:lastPrinted>
  <dcterms:created xsi:type="dcterms:W3CDTF">2008-04-03T22:40:50Z</dcterms:created>
  <dcterms:modified xsi:type="dcterms:W3CDTF">2015-06-22T05:25:12Z</dcterms:modified>
</cp:coreProperties>
</file>